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cT9YhHw0JMN9exyd84FUv+GwDwm+EoGeOGh6nGwwFdbxArYrmuNZ72So9ckzRJobcZ0faS0oaQJmI2pMl97ysQ==" workbookSaltValue="zvh76qtvDWdGpwz4Dfbg4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V17" i="16"/>
  <c r="BU10" i="17"/>
  <c r="BV12" i="16"/>
  <c r="BW12" i="20"/>
  <c r="BV11" i="16"/>
  <c r="BW11" i="20"/>
  <c r="U10" i="17"/>
  <c r="BW10" i="20"/>
  <c r="V12" i="16"/>
  <c r="BU16" i="17"/>
  <c r="BV9" i="16"/>
  <c r="T13" i="16"/>
  <c r="AA17" i="16"/>
  <c r="AZ12" i="11"/>
  <c r="T16" i="11"/>
  <c r="BG12" i="11"/>
  <c r="Q17" i="17"/>
  <c r="BH10" i="11"/>
  <c r="BI9"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C12" i="14"/>
  <c r="K12" i="14" s="1"/>
  <c r="I11" i="3"/>
  <c r="B9" i="6"/>
  <c r="AL16" i="11"/>
  <c r="C16" i="6"/>
  <c r="BE9" i="13"/>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<sst xmlns="http://schemas.openxmlformats.org/spreadsheetml/2006/main" count="2102" uniqueCount="918">
  <si>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</si>
  <si>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</si>
  <si>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</si>
  <si>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</si>
  <si>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</si>
  <si>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</si>
  <si>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</si>
  <si>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</si>
  <si>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</si>
  <si>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</si>
  <si>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</si>
  <si>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</si>
  <si>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</si>
  <si>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</si>
  <si>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</si>
  <si>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</si>
  <si>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</si>
  <si>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</si>
  <si>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</si>
  <si>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</si>
  <si>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</si>
  <si>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</si>
  <si>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</si>
  <si>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</si>
  <si>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</si>
  <si>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</si>
  <si>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</si>
  <si>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</si>
  <si>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</si>
  <si>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</si>
  <si>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</si>
  <si>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</si>
  <si>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</si>
  <si>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</si>
  <si>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</si>
  <si>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</si>
  <si>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</si>
  <si>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</si>
  <si>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</si>
  <si>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</si>
  <si>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</si>
  <si>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</si>
  <si>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</si>
  <si>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</si>
  <si>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</si>
  <si>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</si>
  <si>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</si>
  <si>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</si>
  <si>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</si>
  <si>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</si>
  <si>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</si>
  <si>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</si>
  <si>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</si>
  <si>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</si>
  <si>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</si>
  <si>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</si>
  <si>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</si>
  <si>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</si>
  <si>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</si>
  <si>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</si>
  <si>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</si>
  <si>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</si>
  <si>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</si>
  <si>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</si>
  <si>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</si>
  <si>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</si>
  <si>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</si>
  <si>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</si>
  <si>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</si>
  <si>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</si>
  <si>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</si>
  <si>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</si>
  <si>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</si>
  <si>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</si>
  <si>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</si>
  <si>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</si>
  <si>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</si>
  <si>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</si>
  <si>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</si>
  <si>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</si>
  <si>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</si>
  <si>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</si>
  <si>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</si>
  <si>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</si>
  <si>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</si>
  <si>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</si>
  <si>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</si>
  <si>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</si>
  <si>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</si>
  <si>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</si>
  <si>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</si>
  <si>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</si>
  <si>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</si>
  <si>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</si>
  <si>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</si>
  <si>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</si>
  <si>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</si>
  <si>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</si>
  <si>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</si>
  <si>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</si>
  <si>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</si>
  <si>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</si>
  <si>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</si>
  <si>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</si>
  <si>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</si>
  <si>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</si>
  <si>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</si>
  <si>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</si>
  <si>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</si>
  <si>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</si>
  <si>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</si>
  <si>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</si>
  <si>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</si>
  <si>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</si>
  <si>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</si>
  <si>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</si>
  <si>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</si>
  <si>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</si>
  <si>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</si>
  <si>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</si>
  <si>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</si>
  <si>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</si>
  <si>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</si>
  <si>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</si>
  <si>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</si>
  <si>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</si>
  <si>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</si>
  <si>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</si>
  <si>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</si>
  <si>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</si>
  <si>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</si>
  <si>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</si>
  <si>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</si>
  <si>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</si>
  <si>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</si>
  <si>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</si>
  <si>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</si>
  <si>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</si>
  <si>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</si>
  <si>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</si>
  <si>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</si>
  <si>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</si>
  <si>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</si>
  <si>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</si>
  <si>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</si>
  <si>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</si>
  <si>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</si>
  <si>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</si>
  <si>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</si>
  <si>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</si>
  <si>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</si>
  <si>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</si>
  <si>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</si>
  <si>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</si>
  <si>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</si>
  <si>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</si>
  <si>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</si>
  <si>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</si>
  <si>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</si>
  <si>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</si>
  <si>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</si>
  <si>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</si>
  <si>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</si>
  <si>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</si>
  <si>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</si>
  <si>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</si>
  <si>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</si>
  <si>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</si>
  <si>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</si>
  <si>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</si>
  <si>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</si>
  <si>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</si>
  <si>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</si>
  <si>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</si>
  <si>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</si>
  <si>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</si>
  <si>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</si>
  <si>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</si>
  <si>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</si>
  <si>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</si>
  <si>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</si>
  <si>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</si>
  <si>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</si>
  <si>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</si>
  <si>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</si>
  <si>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</si>
  <si>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</si>
  <si>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</si>
  <si>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</si>
  <si>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</si>
  <si>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</si>
  <si>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</si>
  <si>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</si>
  <si>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</si>
  <si>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</si>
  <si>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</si>
  <si>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</si>
  <si>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</si>
  <si>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</si>
  <si>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</si>
  <si>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</si>
  <si>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</si>
  <si>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</si>
  <si>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</si>
  <si>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</si>
  <si>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</si>
  <si>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</si>
  <si>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</si>
  <si>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</si>
  <si>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</si>
  <si>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</si>
  <si>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</si>
  <si>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</si>
  <si>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</si>
  <si>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</si>
  <si>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</si>
  <si>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</si>
  <si>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</si>
  <si>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</si>
  <si>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</si>
  <si>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</si>
  <si>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</si>
  <si>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</si>
  <si>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</si>
  <si>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</si>
  <si>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</si>
  <si>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</si>
  <si>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</si>
  <si>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</si>
  <si>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</si>
  <si>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</si>
  <si>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</si>
  <si>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</si>
  <si>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</si>
  <si>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</si>
  <si>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</si>
  <si>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</si>
  <si>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</si>
  <si>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</si>
  <si>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</si>
  <si>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</si>
  <si>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</si>
  <si>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</si>
  <si>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</si>
  <si>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</si>
  <si>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</si>
  <si>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</si>
  <si>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</si>
  <si>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</si>
  <si>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</si>
  <si>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</si>
  <si>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</si>
  <si>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</si>
  <si>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</si>
  <si>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</si>
  <si>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</si>
  <si>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</si>
  <si>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</si>
  <si>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</si>
  <si>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</si>
  <si>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</si>
  <si>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</si>
  <si>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</si>
  <si>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</si>
  <si>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</si>
  <si>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</si>
  <si>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</si>
  <si>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</si>
  <si>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</si>
  <si>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</si>
  <si>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</si>
  <si>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</si>
  <si>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</si>
  <si>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</si>
  <si>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</si>
  <si>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</si>
  <si>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</si>
  <si>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</si>
  <si>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</si>
  <si>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</si>
  <si>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</si>
  <si>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</si>
  <si>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</si>
  <si>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</si>
  <si>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</si>
  <si>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</si>
  <si>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</si>
  <si>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</si>
  <si>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</si>
  <si>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</si>
  <si>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</si>
  <si>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</si>
  <si>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</si>
  <si>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</si>
  <si>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</si>
  <si>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</si>
  <si>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</si>
  <si>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</si>
  <si>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</si>
  <si>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</si>
  <si>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</si>
  <si>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</si>
  <si>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</si>
  <si>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</si>
  <si>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</si>
  <si>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</si>
  <si>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</si>
  <si>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</si>
  <si>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</si>
  <si>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</si>
  <si>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</si>
  <si>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</si>
  <si>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</si>
  <si>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</si>
  <si>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</si>
  <si>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</si>
  <si>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</si>
  <si>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</si>
  <si>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</si>
  <si>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</si>
  <si>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</si>
  <si>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</si>
  <si>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</si>
  <si>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</si>
  <si>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</si>
  <si>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</si>
  <si>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</si>
  <si>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</si>
  <si>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</si>
  <si>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</si>
  <si>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</si>
  <si>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</si>
  <si>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</si>
  <si>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</si>
  <si>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</si>
  <si>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</si>
  <si>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</si>
  <si>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</si>
  <si>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</si>
  <si>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</si>
  <si>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</si>
  <si>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</si>
  <si>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</si>
  <si>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</si>
  <si>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</si>
  <si>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</si>
  <si>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</si>
  <si>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</si>
  <si>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</si>
  <si>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</si>
  <si>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</si>
  <si>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</si>
  <si>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</si>
  <si>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</si>
  <si>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</si>
  <si>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</si>
  <si>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</si>
  <si>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</si>
  <si>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</si>
  <si>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</si>
  <si>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</si>
  <si>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</si>
  <si>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</si>
  <si>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</si>
  <si>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</si>
  <si>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</si>
  <si>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</si>
  <si>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</si>
  <si>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</si>
  <si>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</si>
  <si>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</si>
  <si>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</si>
  <si>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</si>
  <si>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</si>
  <si>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</si>
  <si>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</si>
  <si>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</si>
  <si>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</si>
  <si>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</si>
  <si>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</si>
  <si>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</si>
  <si>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</si>
  <si>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</si>
  <si>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</si>
  <si>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</si>
  <si>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</si>
  <si>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</si>
  <si>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</si>
  <si>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</si>
  <si>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</si>
  <si>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</si>
  <si>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</si>
  <si>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</si>
  <si>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</si>
  <si>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</si>
  <si>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</si>
  <si>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</si>
  <si>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</si>
  <si>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</si>
  <si>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</si>
  <si>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</si>
  <si>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</si>
  <si>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</si>
  <si>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</si>
  <si>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</si>
  <si>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</si>
  <si>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</si>
  <si>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</si>
  <si>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</si>
  <si>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</si>
  <si>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</si>
  <si>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</si>
  <si>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</si>
  <si>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</si>
  <si>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</si>
  <si>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</si>
  <si>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</si>
  <si>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</si>
  <si>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</si>
  <si>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</si>
  <si>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</si>
  <si>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</si>
  <si>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</si>
  <si>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</si>
  <si>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</si>
  <si>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</si>
  <si>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</si>
  <si>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</si>
  <si>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</si>
  <si>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</si>
  <si>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</si>
  <si>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</si>
  <si>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</si>
  <si>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</si>
  <si>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</si>
  <si>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</si>
  <si>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</si>
  <si>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</si>
  <si>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</si>
  <si>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</si>
  <si>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</si>
  <si>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</si>
  <si>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</si>
  <si>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</si>
  <si>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</si>
  <si>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</si>
  <si>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</si>
  <si>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</si>
  <si>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</si>
  <si>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</si>
  <si>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</si>
  <si>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</si>
  <si>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</si>
  <si>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</si>
  <si>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</si>
  <si>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</si>
  <si>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</si>
  <si>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</si>
  <si>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</si>
  <si>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</si>
  <si>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</si>
  <si>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</si>
  <si>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</si>
  <si>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</si>
  <si>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</si>
  <si>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</si>
  <si>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</si>
  <si>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</si>
  <si>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</si>
  <si>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</si>
  <si>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</si>
  <si>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</si>
  <si>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</si>
  <si>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</si>
  <si>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</si>
  <si>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</si>
  <si>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</si>
  <si>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</si>
  <si>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</si>
  <si>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</si>
  <si>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</si>
  <si>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</si>
  <si>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</si>
  <si>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</si>
  <si>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</si>
  <si>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</si>
  <si>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</si>
  <si>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</si>
  <si>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</si>
  <si>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</si>
  <si>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</si>
  <si>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</si>
  <si>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</si>
  <si>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</si>
  <si>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</si>
  <si>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</si>
  <si>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</si>
  <si>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</si>
  <si>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</si>
  <si>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</si>
  <si>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</si>
  <si>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</si>
  <si>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</si>
  <si>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</si>
  <si>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</si>
  <si>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</si>
  <si>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</si>
  <si>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</si>
  <si>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</si>
  <si>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</si>
  <si>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</si>
  <si>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</si>
  <si>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</si>
  <si>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</si>
  <si>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</si>
  <si>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</si>
  <si>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</si>
  <si>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</si>
  <si>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</si>
  <si>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</si>
  <si>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</si>
  <si>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</si>
  <si>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</si>
  <si>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</si>
  <si>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</si>
  <si>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</si>
  <si>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</si>
  <si>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</si>
  <si>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</si>
  <si>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</si>
  <si>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</si>
  <si>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</si>
  <si>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</si>
  <si>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</si>
  <si>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</si>
  <si>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</si>
  <si>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</si>
  <si>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</si>
  <si>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</si>
  <si>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</si>
  <si>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</si>
  <si>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</si>
  <si>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</si>
  <si>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</si>
  <si>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</si>
  <si>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</si>
  <si>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</si>
  <si>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</si>
  <si>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</si>
  <si>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</si>
  <si>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</si>
  <si>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</si>
  <si>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</si>
  <si>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</si>
  <si>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</si>
  <si>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</si>
  <si>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</si>
  <si>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</si>
  <si>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</si>
  <si>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</si>
  <si>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</si>
  <si>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</si>
  <si>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</si>
  <si>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</si>
  <si>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</si>
  <si>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</si>
  <si>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</si>
  <si>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</si>
  <si>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</si>
  <si>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</si>
  <si>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</si>
  <si>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</si>
  <si>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</si>
  <si>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</si>
  <si>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</si>
  <si>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</si>
  <si>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</si>
  <si>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</si>
  <si>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</si>
  <si>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</si>
  <si>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</si>
  <si>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</si>
  <si>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</si>
  <si>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</si>
  <si>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</si>
  <si>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</si>
  <si>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</si>
  <si>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</si>
  <si>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</si>
  <si>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</si>
  <si>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</si>
  <si>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</si>
  <si>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</si>
  <si>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</si>
  <si>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</si>
  <si>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</si>
  <si>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</si>
  <si>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</si>
  <si>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</si>
  <si>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</si>
  <si>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</si>
  <si>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</si>
  <si>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</si>
  <si>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</si>
  <si>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</si>
  <si>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</si>
  <si>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</si>
  <si>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</si>
  <si>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</si>
  <si>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</si>
  <si>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</si>
  <si>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</si>
  <si>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</si>
  <si>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</si>
  <si>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</si>
  <si>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</si>
  <si>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</si>
  <si>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</si>
  <si>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</si>
  <si>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</si>
  <si>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</si>
  <si>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</si>
  <si>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</si>
  <si>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</si>
  <si>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</si>
  <si>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</si>
  <si>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</si>
  <si>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</si>
  <si>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</si>
  <si>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</si>
  <si>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</si>
  <si>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</si>
  <si>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</si>
  <si>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</si>
  <si>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</si>
  <si>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</si>
  <si>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</si>
  <si>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</si>
  <si>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</si>
  <si>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</si>
  <si>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</si>
  <si>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</si>
  <si>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</si>
  <si>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</si>
  <si>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</si>
  <si>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</si>
  <si>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</si>
  <si>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</si>
  <si>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</si>
  <si>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</si>
  <si>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</si>
  <si>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</si>
  <si>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</si>
  <si>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</si>
  <si>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</si>
  <si>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</si>
  <si>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</si>
  <si>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</si>
  <si>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</si>
  <si>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</si>
  <si>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</si>
  <si>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</si>
  <si>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</si>
  <si>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</si>
  <si>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</si>
  <si>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</si>
  <si>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</si>
  <si>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</si>
  <si>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</si>
  <si>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</si>
  <si>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</si>
  <si>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</si>
  <si>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</si>
  <si>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</si>
  <si>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</si>
  <si>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</si>
  <si>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</si>
  <si>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</si>
  <si>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</si>
  <si>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</si>
  <si>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</si>
  <si>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</si>
  <si>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</si>
  <si>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</si>
  <si>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</si>
  <si>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</si>
  <si>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</si>
  <si>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</si>
  <si>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</si>
  <si>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</si>
  <si>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</si>
  <si>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</si>
  <si>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</si>
  <si>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</si>
  <si>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</si>
  <si>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</si>
  <si>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</si>
  <si>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</si>
  <si>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</si>
  <si>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</si>
  <si>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</si>
  <si>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</si>
  <si>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</si>
  <si>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</si>
  <si>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</si>
  <si>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</si>
  <si>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</si>
  <si>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</si>
  <si>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</si>
  <si>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</si>
  <si>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</si>
  <si>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</si>
  <si>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</si>
  <si>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</si>
  <si>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</si>
  <si>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</si>
  <si>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</si>
  <si>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</si>
  <si>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</si>
  <si>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</si>
  <si>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</si>
  <si>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</si>
  <si>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</si>
  <si>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</si>
  <si>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</si>
  <si>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</si>
  <si>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</si>
  <si>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</si>
  <si>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</si>
  <si>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</si>
  <si>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</si>
  <si>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</si>
  <si>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</si>
  <si>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</si>
  <si>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</si>
  <si>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</si>
  <si>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</si>
  <si>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</si>
  <si>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</si>
  <si>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</si>
  <si>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</si>
  <si>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</si>
  <si>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</si>
  <si>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</si>
  <si>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</si>
  <si>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</si>
  <si>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</si>
  <si>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</si>
  <si>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</si>
  <si>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</si>
  <si>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</si>
  <si>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</si>
  <si>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</si>
  <si>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</si>
  <si>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</si>
  <si>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</si>
  <si>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</si>
  <si>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</si>
  <si>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</si>
  <si>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</si>
  <si>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</si>
  <si>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</si>
  <si>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</si>
  <si>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</si>
  <si>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</si>
  <si>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</si>
  <si>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</si>
  <si>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</si>
  <si>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</si>
  <si>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</si>
  <si>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</si>
  <si>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</si>
  <si>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</si>
  <si>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</si>
  <si>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</si>
  <si>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</si>
  <si>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</si>
  <si>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</si>
  <si>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</si>
  <si>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</si>
  <si>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</si>
  <si>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</si>
  <si>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</si>
  <si>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</si>
  <si>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</si>
  <si>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</si>
  <si>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</si>
  <si>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</si>
  <si>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</si>
  <si>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</si>
  <si>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</si>
  <si>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</si>
  <si>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</si>
  <si>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</si>
  <si>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</si>
  <si>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</si>
  <si>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</si>
  <si>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</si>
  <si>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</si>
  <si>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</si>
  <si>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</si>
  <si>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</si>
  <si>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</si>
  <si>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</si>
  <si>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</si>
  <si>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</si>
  <si>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</si>
  <si>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</si>
  <si>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</si>
  <si>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</si>
  <si>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</si>
  <si>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</si>
  <si>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</si>
  <si>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</si>
  <si>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</si>
  <si>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</si>
  <si>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</si>
  <si>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</si>
  <si>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</si>
  <si>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</si>
  <si>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</si>
  <si>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</si>
  <si>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</si>
  <si>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</si>
  <si>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</si>
  <si>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</si>
  <si>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</si>
  <si>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</si>
  <si>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</si>
  <si>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</si>
  <si>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</si>
  <si>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</si>
  <si>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</si>
  <si>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</si>
  <si>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</si>
  <si>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</si>
  <si>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</si>
  <si>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</si>
  <si>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</si>
  <si>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</si>
  <si>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</si>
  <si>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</si>
  <si>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</si>
  <si>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</si>
  <si>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</si>
  <si>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</si>
  <si>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</si>
  <si>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</si>
  <si>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</si>
  <si>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</si>
  <si>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</si>
  <si>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</si>
  <si>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</si>
  <si>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</si>
  <si>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</si>
  <si>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</si>
  <si>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</si>
  <si>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</si>
  <si>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</si>
  <si>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</si>
  <si>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</si>
  <si>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</si>
  <si>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</si>
  <si>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</si>
  <si>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</si>
  <si>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</si>
  <si>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</si>
  <si>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</si>
  <si>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</si>
  <si>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</si>
  <si>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</si>
  <si>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</si>
  <si>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</si>
  <si>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</si>
  <si>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</si>
  <si>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</si>
  <si>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</si>
  <si>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</si>
  <si>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</si>
  <si>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</si>
  <si>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</si>
  <si>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</si>
  <si>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</si>
  <si>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</si>
  <si>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</si>
  <si>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</si>
  <si>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</si>
  <si>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</si>
  <si>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</si>
  <si>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</si>
  <si>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</si>
  <si>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</si>
  <si>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</si>
  <si>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</si>
  <si>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</si>
  <si>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</si>
  <si>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</si>
  <si>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</si>
  <si>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</si>
  <si>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</si>
  <si>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</si>
  <si>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</si>
  <si>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</si>
  <si>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</si>
  <si>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</si>
  <si>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</si>
  <si>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</si>
  <si>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</si>
  <si>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</si>
  <si>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</si>
  <si>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</si>
  <si>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</si>
  <si>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</si>
  <si>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</si>
  <si>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</si>
  <si>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</si>
  <si>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</si>
  <si>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AZPEITIA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</si>
</sst>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8751ljo/wDtHe3JhPL6/eVH0aLId6mY/RcgSWWSQ7oV+XCsHuDe2XTmxB5kTufWn53SKuHZTT9xggWS8SjVTg==" saltValue="24Ezu8BUh1WmUDGUoDae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4</v>
      </c>
      <c r="F10" s="226">
        <f>IF(ISNUMBER(Datos!K10),Datos!K10," - ")</f>
        <v>5</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17.600000000000001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30.649851632047479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4</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944</v>
      </c>
      <c r="D16" s="225">
        <f>IF(ISNUMBER(IF(D_I="SI",Datos!I16,Datos!I16+Datos!AC16)),IF(D_I="SI",Datos!I16,Datos!I16+Datos!AC16)," - ")</f>
        <v>943</v>
      </c>
      <c r="E16" s="226">
        <f>IF(ISNUMBER(IF(D_I="SI",Datos!J16,Datos!J16+Datos!AD16)),IF(D_I="SI",Datos!J16,Datos!J16+Datos!AD16)," - ")</f>
        <v>341</v>
      </c>
      <c r="F16" s="226">
        <f>IF(ISNUMBER(IF(D_I="SI",Datos!K16,Datos!K16+Datos!AE16)),IF(D_I="SI",Datos!K16,Datos!K16+Datos!AE16)," - ")</f>
        <v>232</v>
      </c>
      <c r="G16" s="1034" t="str">
        <f>IF(Datos!E16&lt;&gt;"",Datos!E16,Datos!D16)</f>
        <v>04</v>
      </c>
      <c r="H16" s="227">
        <f>IF(ISNUMBER(IF(D_I="SI",Datos!L16,Datos!L16+Datos!AF16)),IF(D_I="SI",Datos!L16,Datos!L16+Datos!AF16)," - ")</f>
        <v>1053</v>
      </c>
      <c r="I16" s="1044" t="str">
        <f>IF(ISNUMBER(Datos!AS16/Datos!BM16),Datos!AS16/Datos!BM16," - ")</f>
        <v xml:space="preserve"> - </v>
      </c>
      <c r="J16" s="1045">
        <f>IF(ISNUMBER(Datos!BY16/Datos!CN16),Datos!BY16/Datos!CN16," - ")</f>
        <v>0</v>
      </c>
      <c r="K16" s="230">
        <f t="shared" si="3"/>
        <v>0.11546610169491525</v>
      </c>
      <c r="L16" s="1025">
        <f>IF(ISNUMBER(NºAsuntos!I16/NºAsuntos!G16),(NºAsuntos!I16/NºAsuntos!G16)*11," - ")</f>
        <v>49.926724137931032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18</v>
      </c>
      <c r="F17" s="226">
        <f>IF(ISNUMBER(IF(D_I="SI",Datos!K17,Datos!K17+Datos!AE17)),IF(D_I="SI",Datos!K17,Datos!K17+Datos!AE17)," - ")</f>
        <v>21</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-4.1095890410958902E-2</v>
      </c>
      <c r="L17" s="1025">
        <f>IF(ISNUMBER(NºAsuntos!I17/NºAsuntos!G17),(NºAsuntos!I17/NºAsuntos!G17)*11," - ")</f>
        <v>36.666666666666671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1017</v>
      </c>
      <c r="D18" s="1049">
        <f>SUBTOTAL(9,D15:D17)</f>
        <v>1016</v>
      </c>
      <c r="E18" s="1050">
        <f>SUBTOTAL(9,E15:E17)</f>
        <v>359</v>
      </c>
      <c r="F18" s="1050">
        <f>SUBTOTAL(9,F15:F17)</f>
        <v>253</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1026</v>
      </c>
      <c r="D19" s="1071">
        <f>SUBTOTAL(9,D9:D18)</f>
        <v>1025</v>
      </c>
      <c r="E19" s="1072">
        <f>SUBTOTAL(9,E9:E18)</f>
        <v>363</v>
      </c>
      <c r="F19" s="1072">
        <f>SUBTOTAL(9,F9:F18)</f>
        <v>258</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url/uaYUBuHhAPN4sJdjAJ4TaukX20u1tQHF1MhoNBjtG4mmgZG5NKim0OJQP03of0EbOQOcnANDxJOmsSvPw==" saltValue="jHC52L58n26KOv9Clxmy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AjlblySlHMJa2nuQP/QIWoMN2UPnCQ1gSx9Dl4EGn7PetY4EWEeHeLN3pB/Jlrx3rAeMbRiDH47VzBU/TIwvg==" saltValue="uRLF0o60WvH4UGZ0/o4b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4</v>
      </c>
      <c r="K10" s="181">
        <v>5</v>
      </c>
      <c r="L10" s="181">
        <v>8</v>
      </c>
      <c r="M10" s="181">
        <v>2</v>
      </c>
      <c r="N10" s="181">
        <v>0</v>
      </c>
      <c r="O10" s="181">
        <v>0</v>
      </c>
      <c r="P10" s="181">
        <v>0</v>
      </c>
      <c r="Q10" s="181">
        <v>7</v>
      </c>
      <c r="R10" s="181">
        <v>0</v>
      </c>
      <c r="S10" s="181">
        <v>10</v>
      </c>
      <c r="T10" s="181">
        <v>3</v>
      </c>
      <c r="U10" s="181">
        <v>8</v>
      </c>
      <c r="V10" s="181">
        <v>5</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3</v>
      </c>
      <c r="BA10" s="129">
        <f t="shared" si="0"/>
        <v>8</v>
      </c>
      <c r="BB10" s="129">
        <f t="shared" si="0"/>
        <v>5</v>
      </c>
      <c r="BC10" s="125">
        <f t="shared" si="0"/>
        <v>4</v>
      </c>
      <c r="BD10" s="126">
        <f>IF(ISNUMBER(BA10/AZ10),BA10/AZ10," - ")</f>
        <v>2.6666666666666665</v>
      </c>
      <c r="BE10" s="127">
        <f>IF(ISNUMBER(BB10/BA10),BB10/BA10, " - ")</f>
        <v>0.625</v>
      </c>
      <c r="BF10" s="127">
        <f>IF(ISNUMBER(BC10/BA10),BC10/BA10, " - ")</f>
        <v>0.5</v>
      </c>
      <c r="BG10" s="196">
        <f>IF(ISNUMBER((AY10+AZ10)/BA10),(AY10+AZ10)/BA10," - ")</f>
        <v>1.625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789</v>
      </c>
      <c r="J12" s="183">
        <v>438</v>
      </c>
      <c r="K12" s="183">
        <v>324</v>
      </c>
      <c r="L12" s="183">
        <v>903</v>
      </c>
      <c r="M12" s="183">
        <v>121</v>
      </c>
      <c r="N12" s="183">
        <v>162</v>
      </c>
      <c r="O12" s="181">
        <v>88</v>
      </c>
      <c r="P12" s="183">
        <v>52</v>
      </c>
      <c r="Q12" s="183">
        <v>38</v>
      </c>
      <c r="R12" s="183">
        <v>988</v>
      </c>
      <c r="S12" s="183">
        <v>689</v>
      </c>
      <c r="T12" s="183">
        <v>275</v>
      </c>
      <c r="U12" s="183">
        <v>289</v>
      </c>
      <c r="V12" s="183">
        <v>675</v>
      </c>
      <c r="W12" s="183">
        <v>94</v>
      </c>
      <c r="X12" s="189">
        <v>102</v>
      </c>
      <c r="Y12" s="191">
        <v>20</v>
      </c>
      <c r="Z12" s="181">
        <v>29</v>
      </c>
      <c r="AA12" s="181">
        <v>13</v>
      </c>
      <c r="AB12" s="181">
        <v>36</v>
      </c>
      <c r="AC12" s="183">
        <v>0</v>
      </c>
      <c r="AD12" s="183">
        <v>0</v>
      </c>
      <c r="AE12" s="183">
        <v>0</v>
      </c>
      <c r="AF12" s="189">
        <v>0</v>
      </c>
      <c r="AG12" s="202">
        <v>22</v>
      </c>
      <c r="AH12" s="183">
        <v>33</v>
      </c>
      <c r="AI12" s="183">
        <v>23</v>
      </c>
      <c r="AJ12" s="203">
        <v>32</v>
      </c>
      <c r="AK12" s="182">
        <v>0</v>
      </c>
      <c r="AL12" s="183">
        <v>0</v>
      </c>
      <c r="AM12" s="183">
        <v>0</v>
      </c>
      <c r="AN12" s="189">
        <v>0</v>
      </c>
      <c r="AO12" s="259">
        <v>2</v>
      </c>
      <c r="AP12" s="155">
        <v>2</v>
      </c>
      <c r="AQ12" s="155">
        <v>2</v>
      </c>
      <c r="AR12" s="154">
        <v>2</v>
      </c>
      <c r="AS12" s="340" t="s">
        <v>802</v>
      </c>
      <c r="AT12" s="203"/>
      <c r="AU12" s="202"/>
      <c r="AV12" s="203"/>
      <c r="AW12" s="202"/>
      <c r="AX12" s="203"/>
      <c r="AY12" s="126">
        <f t="shared" si="1"/>
        <v>711</v>
      </c>
      <c r="AZ12" s="127">
        <f t="shared" si="1"/>
        <v>308</v>
      </c>
      <c r="BA12" s="127">
        <f t="shared" si="1"/>
        <v>312</v>
      </c>
      <c r="BB12" s="127">
        <f t="shared" si="1"/>
        <v>707</v>
      </c>
      <c r="BC12" s="125">
        <f>IF(ISNUMBER(X12),X12," - ")</f>
        <v>102</v>
      </c>
      <c r="BD12" s="126">
        <f t="shared" si="2"/>
        <v>1.0129870129870129</v>
      </c>
      <c r="BE12" s="127">
        <f t="shared" si="3"/>
        <v>2.266025641025641</v>
      </c>
      <c r="BF12" s="127">
        <f t="shared" si="4"/>
        <v>0.32692307692307693</v>
      </c>
      <c r="BG12" s="196">
        <f t="shared" si="5"/>
        <v>3.266025641025641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798</v>
      </c>
      <c r="J13" s="184">
        <f t="shared" si="6"/>
        <v>442</v>
      </c>
      <c r="K13" s="184">
        <f t="shared" si="6"/>
        <v>329</v>
      </c>
      <c r="L13" s="184">
        <f t="shared" si="6"/>
        <v>911</v>
      </c>
      <c r="M13" s="184">
        <f t="shared" si="6"/>
        <v>123</v>
      </c>
      <c r="N13" s="184">
        <f t="shared" si="6"/>
        <v>162</v>
      </c>
      <c r="O13" s="184">
        <f t="shared" si="6"/>
        <v>88</v>
      </c>
      <c r="P13" s="184">
        <f t="shared" si="6"/>
        <v>52</v>
      </c>
      <c r="Q13" s="184">
        <f t="shared" si="6"/>
        <v>45</v>
      </c>
      <c r="R13" s="184">
        <f t="shared" si="6"/>
        <v>988</v>
      </c>
      <c r="S13" s="184">
        <f t="shared" si="6"/>
        <v>699</v>
      </c>
      <c r="T13" s="184">
        <f t="shared" si="6"/>
        <v>278</v>
      </c>
      <c r="U13" s="184">
        <f t="shared" si="6"/>
        <v>297</v>
      </c>
      <c r="V13" s="184">
        <f t="shared" si="6"/>
        <v>680</v>
      </c>
      <c r="W13" s="184">
        <f t="shared" si="6"/>
        <v>98</v>
      </c>
      <c r="X13" s="184">
        <f t="shared" si="6"/>
        <v>102</v>
      </c>
      <c r="Y13" s="184">
        <f t="shared" si="6"/>
        <v>20</v>
      </c>
      <c r="Z13" s="184">
        <f t="shared" si="6"/>
        <v>29</v>
      </c>
      <c r="AA13" s="184">
        <f t="shared" si="6"/>
        <v>13</v>
      </c>
      <c r="AB13" s="184">
        <f t="shared" si="6"/>
        <v>36</v>
      </c>
      <c r="AC13" s="184">
        <f t="shared" si="6"/>
        <v>0</v>
      </c>
      <c r="AD13" s="184">
        <f t="shared" si="6"/>
        <v>0</v>
      </c>
      <c r="AE13" s="184">
        <f t="shared" si="6"/>
        <v>0</v>
      </c>
      <c r="AF13" s="184">
        <f>SUBTOTAL(9,AF9:AF12)</f>
        <v>0</v>
      </c>
      <c r="AG13" s="184">
        <f t="shared" ref="AG13:AT13" si="7">SUBTOTAL(9,AG8:AG12)</f>
        <v>22</v>
      </c>
      <c r="AH13" s="184">
        <f t="shared" si="7"/>
        <v>33</v>
      </c>
      <c r="AI13" s="184">
        <f t="shared" si="7"/>
        <v>23</v>
      </c>
      <c r="AJ13" s="184">
        <f t="shared" si="7"/>
        <v>32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721</v>
      </c>
      <c r="AZ13" s="184">
        <f>SUBTOTAL(9,AZ8:AZ12)</f>
        <v>311</v>
      </c>
      <c r="BA13" s="184">
        <f>SUBTOTAL(9,BA8:BA12)</f>
        <v>320</v>
      </c>
      <c r="BB13" s="184">
        <f>SUBTOTAL(9,BB8:BB12)</f>
        <v>712</v>
      </c>
      <c r="BC13" s="184">
        <f>SUBTOTAL(9,BC8:BC12)</f>
        <v>106</v>
      </c>
      <c r="BD13" s="205">
        <f>IF(ISNUMBER(BA13/AZ13),BA13/AZ13," - ")</f>
        <v>1.0289389067524115</v>
      </c>
      <c r="BE13" s="206">
        <f>IF(ISNUMBER(BB13/BA13),BB13/BA13, " - ")</f>
        <v>2.2250000000000001</v>
      </c>
      <c r="BF13" s="206">
        <f>IF(ISNUMBER(BC13/BA13),BC13/BA13, " - ")</f>
        <v>0.33124999999999999</v>
      </c>
      <c r="BG13" s="207">
        <f>IF(ISNUMBER((AY13+AZ13)/BA13),(AY13+AZ13)/BA13," - ")</f>
        <v>3.2250000000000001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943</v>
      </c>
      <c r="J16" s="183">
        <v>341</v>
      </c>
      <c r="K16" s="183">
        <v>232</v>
      </c>
      <c r="L16" s="183">
        <v>1053</v>
      </c>
      <c r="M16" s="183">
        <v>75</v>
      </c>
      <c r="N16" s="183">
        <v>67</v>
      </c>
      <c r="O16" s="181">
        <v>0</v>
      </c>
      <c r="P16" s="183">
        <v>23</v>
      </c>
      <c r="Q16" s="183">
        <v>1</v>
      </c>
      <c r="R16" s="183">
        <v>157</v>
      </c>
      <c r="S16" s="183">
        <v>750</v>
      </c>
      <c r="T16" s="183">
        <v>266</v>
      </c>
      <c r="U16" s="183">
        <v>259</v>
      </c>
      <c r="V16" s="183">
        <v>757</v>
      </c>
      <c r="W16" s="183">
        <v>64</v>
      </c>
      <c r="X16" s="189">
        <v>133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750</v>
      </c>
      <c r="AZ16" s="127">
        <f t="shared" si="9"/>
        <v>266</v>
      </c>
      <c r="BA16" s="127">
        <f t="shared" si="9"/>
        <v>259</v>
      </c>
      <c r="BB16" s="127">
        <f t="shared" si="9"/>
        <v>757</v>
      </c>
      <c r="BC16" s="125">
        <f>IF(ISNUMBER(W16),W16," - ")</f>
        <v>64</v>
      </c>
      <c r="BD16" s="126">
        <f t="shared" ref="BD16" si="11">IF(ISNUMBER(BA16/AZ16),BA16/AZ16," - ")</f>
        <v>0.97368421052631582</v>
      </c>
      <c r="BE16" s="127">
        <f t="shared" ref="BE16" si="12">IF(ISNUMBER(BB16/BA16),BB16/BA16, " - ")</f>
        <v>2.9227799227799229</v>
      </c>
      <c r="BF16" s="127">
        <f t="shared" ref="BF16" si="13">IF(ISNUMBER(BC16/BA16),BC16/BA16, " - ")</f>
        <v>0.24710424710424711</v>
      </c>
      <c r="BG16" s="196">
        <f t="shared" si="10"/>
        <v>3.9227799227799229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18</v>
      </c>
      <c r="K17" s="183">
        <v>21</v>
      </c>
      <c r="L17" s="183">
        <v>70</v>
      </c>
      <c r="M17" s="183">
        <v>6</v>
      </c>
      <c r="N17" s="183">
        <v>9</v>
      </c>
      <c r="O17" s="183">
        <v>0</v>
      </c>
      <c r="P17" s="183">
        <v>0</v>
      </c>
      <c r="Q17" s="183">
        <v>0</v>
      </c>
      <c r="R17" s="183">
        <v>0</v>
      </c>
      <c r="S17" s="183">
        <v>42</v>
      </c>
      <c r="T17" s="183">
        <v>36</v>
      </c>
      <c r="U17" s="183">
        <v>38</v>
      </c>
      <c r="V17" s="183">
        <v>40</v>
      </c>
      <c r="W17" s="183">
        <v>8</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36</v>
      </c>
      <c r="BA17" s="129">
        <f t="shared" si="14"/>
        <v>38</v>
      </c>
      <c r="BB17" s="129">
        <f t="shared" si="14"/>
        <v>40</v>
      </c>
      <c r="BC17" s="125">
        <f>IF(ISNUMBER(W17),W17," - ")</f>
        <v>8</v>
      </c>
      <c r="BD17" s="126">
        <f>IF(ISNUMBER(BA17/AZ17),BA17/AZ17," - ")</f>
        <v>1.0555555555555556</v>
      </c>
      <c r="BE17" s="127">
        <f>IF(ISNUMBER(BB17/BA17),BB17/BA17, " - ")</f>
        <v>1.0526315789473684</v>
      </c>
      <c r="BF17" s="127">
        <f>IF(ISNUMBER(BC17/BA17),BC17/BA17, " - ")</f>
        <v>0.21052631578947367</v>
      </c>
      <c r="BG17" s="196">
        <f>IF(ISNUMBER((AY17+AZ17)/BA17),(AY17+AZ17)/BA17," - ")</f>
        <v>2.0526315789473686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1016</v>
      </c>
      <c r="J18" s="184">
        <f t="shared" si="15"/>
        <v>359</v>
      </c>
      <c r="K18" s="184">
        <f t="shared" si="15"/>
        <v>253</v>
      </c>
      <c r="L18" s="184">
        <f t="shared" si="15"/>
        <v>1123</v>
      </c>
      <c r="M18" s="184">
        <f t="shared" si="15"/>
        <v>81</v>
      </c>
      <c r="N18" s="184">
        <f t="shared" si="15"/>
        <v>76</v>
      </c>
      <c r="O18" s="184">
        <f t="shared" si="15"/>
        <v>0</v>
      </c>
      <c r="P18" s="184">
        <f t="shared" si="15"/>
        <v>23</v>
      </c>
      <c r="Q18" s="184">
        <f t="shared" si="15"/>
        <v>1</v>
      </c>
      <c r="R18" s="184">
        <f t="shared" si="15"/>
        <v>157</v>
      </c>
      <c r="S18" s="184">
        <f t="shared" si="15"/>
        <v>792</v>
      </c>
      <c r="T18" s="184">
        <f t="shared" si="15"/>
        <v>302</v>
      </c>
      <c r="U18" s="184">
        <f t="shared" si="15"/>
        <v>297</v>
      </c>
      <c r="V18" s="184">
        <f t="shared" si="15"/>
        <v>797</v>
      </c>
      <c r="W18" s="184">
        <f t="shared" si="15"/>
        <v>72</v>
      </c>
      <c r="X18" s="184">
        <f t="shared" si="15"/>
        <v>147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792</v>
      </c>
      <c r="AZ18" s="184">
        <f>SUBTOTAL(9,AZ14:AZ17)</f>
        <v>302</v>
      </c>
      <c r="BA18" s="184">
        <f>SUBTOTAL(9,BA14:BA17)</f>
        <v>297</v>
      </c>
      <c r="BB18" s="184">
        <f>SUBTOTAL(9,BB14:BB17)</f>
        <v>797</v>
      </c>
      <c r="BC18" s="184">
        <f>SUBTOTAL(9,BC14:BC17)</f>
        <v>72</v>
      </c>
      <c r="BD18" s="205">
        <f>IF(ISNUMBER(BA18/AZ18),BA18/AZ18," - ")</f>
        <v>0.98344370860927155</v>
      </c>
      <c r="BE18" s="206">
        <f>IF(ISNUMBER(BB18/BA18),BB18/BA18, " - ")</f>
        <v>2.6835016835016834</v>
      </c>
      <c r="BF18" s="206">
        <f>IF(ISNUMBER(BC18/BA18),BC18/BA18, " - ")</f>
        <v>0.24242424242424243</v>
      </c>
      <c r="BG18" s="207">
        <f>IF(ISNUMBER((AY18+AZ18)/BA18),(AY18+AZ18)/BA18," - ")</f>
        <v>3.6835016835016834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1814</v>
      </c>
      <c r="J19" s="134">
        <f t="shared" si="18"/>
        <v>801</v>
      </c>
      <c r="K19" s="134">
        <f t="shared" si="18"/>
        <v>582</v>
      </c>
      <c r="L19" s="134">
        <f t="shared" si="18"/>
        <v>2034</v>
      </c>
      <c r="M19" s="134">
        <f t="shared" si="18"/>
        <v>204</v>
      </c>
      <c r="N19" s="134">
        <f t="shared" si="18"/>
        <v>238</v>
      </c>
      <c r="O19" s="134">
        <f t="shared" si="18"/>
        <v>88</v>
      </c>
      <c r="P19" s="134">
        <f t="shared" si="18"/>
        <v>75</v>
      </c>
      <c r="Q19" s="134">
        <f t="shared" si="18"/>
        <v>46</v>
      </c>
      <c r="R19" s="134">
        <f t="shared" si="18"/>
        <v>1145</v>
      </c>
      <c r="S19" s="134">
        <f t="shared" si="18"/>
        <v>1491</v>
      </c>
      <c r="T19" s="134">
        <f t="shared" si="18"/>
        <v>580</v>
      </c>
      <c r="U19" s="134">
        <f t="shared" si="18"/>
        <v>594</v>
      </c>
      <c r="V19" s="134">
        <f t="shared" si="18"/>
        <v>1477</v>
      </c>
      <c r="W19" s="134">
        <f t="shared" si="18"/>
        <v>170</v>
      </c>
      <c r="X19" s="134">
        <f t="shared" si="18"/>
        <v>249</v>
      </c>
      <c r="Y19" s="134">
        <f t="shared" si="18"/>
        <v>20</v>
      </c>
      <c r="Z19" s="134">
        <f t="shared" si="18"/>
        <v>29</v>
      </c>
      <c r="AA19" s="134">
        <f t="shared" si="18"/>
        <v>13</v>
      </c>
      <c r="AB19" s="134">
        <f t="shared" si="18"/>
        <v>36</v>
      </c>
      <c r="AC19" s="134">
        <f t="shared" si="18"/>
        <v>0</v>
      </c>
      <c r="AD19" s="134">
        <f t="shared" si="18"/>
        <v>0</v>
      </c>
      <c r="AE19" s="134">
        <f t="shared" si="18"/>
        <v>0</v>
      </c>
      <c r="AF19" s="134">
        <f t="shared" si="18"/>
        <v>0</v>
      </c>
      <c r="AG19" s="134">
        <f t="shared" si="18"/>
        <v>22</v>
      </c>
      <c r="AH19" s="134">
        <f t="shared" si="18"/>
        <v>33</v>
      </c>
      <c r="AI19" s="134">
        <f t="shared" si="18"/>
        <v>23</v>
      </c>
      <c r="AJ19" s="134">
        <f t="shared" si="18"/>
        <v>32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1513</v>
      </c>
      <c r="AZ19" s="134">
        <f>SUBTOTAL(9,AZ9:AZ18)</f>
        <v>613</v>
      </c>
      <c r="BA19" s="134">
        <f>SUBTOTAL(9,BA9:BA18)</f>
        <v>617</v>
      </c>
      <c r="BB19" s="134">
        <f>SUBTOTAL(9,BB9:BB18)</f>
        <v>1509</v>
      </c>
      <c r="BC19" s="135">
        <f>SUBTOTAL(9,BC9:BC18)</f>
        <v>178</v>
      </c>
      <c r="BD19" s="213">
        <f>IF(ISNUMBER(BA19/AZ19),BA19/AZ19," - ")</f>
        <v>1.0065252854812399</v>
      </c>
      <c r="BE19" s="210">
        <f>IF(ISNUMBER(BB19/BA19),BB19/BA19, " - ")</f>
        <v>2.4457050243111831</v>
      </c>
      <c r="BF19" s="210">
        <f>IF(ISNUMBER(BC19/BA19),BC19/BA19, " - ")</f>
        <v>0.28849270664505672</v>
      </c>
      <c r="BG19" s="135">
        <f>IF(ISNUMBER((AY19+AZ19)/BA19),(AY19+AZ19)/BA19," - ")</f>
        <v>3.4457050243111831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ZS7vF+oNq/dodlJraVgfpCx4z5Mun8B2RkHTMhnRiQx5WNrbAXfIykHQT3IGhSSYIiHxZ1/IxhRkgPefsrAGg==" saltValue="/eSUYrPCbY93oVd4rwkw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5fBk5PzUQqxie8c5taF/b2POs2Edsc+asThiIop9299T5WN/qjucK8kIUdUZC0GMlZyQWWlfbB0IxxaimW5sw==" saltValue="kjZ2Z5pJhwsEZoS6EzWs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7</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4.8000000000000007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988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121</v>
      </c>
      <c r="BD12" s="229">
        <f>IF(ISNUMBER(Datos!N12),Datos!N12," - ")</f>
        <v>162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0.72162740899357602</v>
      </c>
      <c r="BH12" s="260">
        <f>IF(ISNUMBER(((IF(J_V="SI",Datos!L12/Datos!K12,(Datos!L12+Datos!AB12)/(Datos!K12+Datos!AA12)))*11)/factor_trimestre),((IF(J_V="SI",Datos!L12/Datos!K12,(Datos!L12+Datos!AB12)/(Datos!K12+Datos!AA12)))*11)/factor_trimestre," - ")</f>
        <v>8.3590504451038576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1.4373716632443531E-2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45</v>
      </c>
      <c r="AD13" s="899">
        <f t="shared" si="1"/>
        <v>0</v>
      </c>
      <c r="AE13" s="899">
        <f t="shared" si="1"/>
        <v>0</v>
      </c>
      <c r="AF13" s="899">
        <f t="shared" si="1"/>
        <v>8</v>
      </c>
      <c r="AG13" s="899">
        <f t="shared" si="1"/>
        <v>0</v>
      </c>
      <c r="AH13" s="899">
        <f t="shared" si="1"/>
        <v>36</v>
      </c>
      <c r="AI13" s="899">
        <f t="shared" si="1"/>
        <v>0</v>
      </c>
      <c r="AJ13" s="899">
        <f t="shared" si="1"/>
        <v>0</v>
      </c>
      <c r="AK13" s="899">
        <f t="shared" si="1"/>
        <v>0</v>
      </c>
      <c r="AL13" s="899">
        <f t="shared" si="1"/>
        <v>0</v>
      </c>
      <c r="AM13" s="899">
        <f t="shared" si="1"/>
        <v>988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162</v>
      </c>
      <c r="BE13" s="899">
        <f t="shared" si="1"/>
        <v>0</v>
      </c>
      <c r="BF13" s="899">
        <f t="shared" si="1"/>
        <v>0</v>
      </c>
      <c r="BG13" s="899">
        <f>IF(ISNUMBER(Datos!K13/Datos!J13),Datos!K13/Datos!J13," - ")</f>
        <v>0.74434389140271495</v>
      </c>
      <c r="BH13" s="903">
        <f>IF(ISNUMBER(((Datos!L13/Datos!K13)*11)/factor_trimestre),((Datos!L13/Datos!K13)*11)/factor_trimestre," - ")</f>
        <v>8.306990881458967</v>
      </c>
      <c r="BI13" s="899">
        <f>IF(ISNUMBER('Resol  Asuntos'!D13/NºAsuntos!G13),'Resol  Asuntos'!D13/NºAsuntos!G13," - ")</f>
        <v>0.35964912280701755</v>
      </c>
      <c r="BJ13" s="899" t="str">
        <f>IF(ISNUMBER(Datos!CI13/Datos!CJ13),Datos!CI13/Datos!CJ13," - ")</f>
        <v xml:space="preserve"> - </v>
      </c>
      <c r="BK13" s="899">
        <f>SUBTOTAL(9,BK8:BK12)</f>
        <v>0</v>
      </c>
      <c r="BL13" s="899">
        <f>IF(ISNUMBER((I13-AB13+L13)/(F13)),(I13-AB13+L13)/(F13)," - ")</f>
        <v>-0.55555555555555558</v>
      </c>
      <c r="BM13" s="904">
        <f>SUBTOTAL(9,BM9:BM12)</f>
        <v>-0.98562628336755642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944</v>
      </c>
      <c r="G16" s="598">
        <f>IF(ISNUMBER(IF(D_I="SI",Datos!I16,Datos!I16+Datos!AC16)),IF(D_I="SI",Datos!I16,Datos!I16+Datos!AC16)," - ")</f>
        <v>943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232</v>
      </c>
      <c r="AC16" s="226">
        <f>IF(ISNUMBER(Datos!Q16),Datos!Q16," - ")</f>
        <v>1</v>
      </c>
      <c r="AD16" s="334"/>
      <c r="AE16" s="484"/>
      <c r="AF16" s="596">
        <f>IF(ISNUMBER(IF(D_I="SI",Datos!L16,Datos!L16+Datos!AF16)),IF(D_I="SI",Datos!L16,Datos!L16+Datos!AF16)," - ")</f>
        <v>1053</v>
      </c>
      <c r="AG16" s="334"/>
      <c r="AH16" s="334"/>
      <c r="AI16" s="334"/>
      <c r="AJ16" s="334"/>
      <c r="AK16" s="334"/>
      <c r="AL16" s="479"/>
      <c r="AM16" s="335">
        <f>IF(ISNUMBER(Datos!R16),Datos!R16," - ")</f>
        <v>157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75</v>
      </c>
      <c r="BD16" s="229">
        <f>IF(ISNUMBER(Datos!N16),Datos!N16," - ")</f>
        <v>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0.68035190615835772</v>
      </c>
      <c r="BH16" s="260">
        <f>IF(ISNUMBER(((IF(D_I="SI",Datos!L16/Datos!K16,(Datos!L16+Datos!AF16)/(Datos!K16+Datos!AE16)))*11)/factor_trimestre),((IF(D_I="SI",Datos!L16/Datos!K16,(Datos!L16+Datos!AF16)/(Datos!K16+Datos!AE16)))*11)/factor_trimestre," - ")</f>
        <v>13.616379310344827</v>
      </c>
      <c r="BI16" s="243">
        <f>IF(ISNUMBER('Resol  Asuntos'!D16/NºAsuntos!G16),'Resol  Asuntos'!D16/NºAsuntos!G16," - ")</f>
        <v>0.32327586206896552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1.1666666666666667</v>
      </c>
      <c r="BH17" s="260">
        <f>IF(ISNUMBER(((IF(D_I="SI",Datos!L17/Datos!K17,(Datos!L17+Datos!AF17)/(Datos!K17+Datos!AE17)))*11)/factor_trimestre),((IF(D_I="SI",Datos!L17/Datos!K17,(Datos!L17+Datos!AF17)/(Datos!K17+Datos!AE17)))*11)/factor_trimestre," - ")</f>
        <v>10.000000000000002</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944</v>
      </c>
      <c r="G18" s="898">
        <f>SUBTOTAL(9,G15:G17)</f>
        <v>1016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253</v>
      </c>
      <c r="AC18" s="899">
        <f t="shared" si="4"/>
        <v>1</v>
      </c>
      <c r="AD18" s="899">
        <f t="shared" si="4"/>
        <v>0</v>
      </c>
      <c r="AE18" s="899">
        <f t="shared" si="4"/>
        <v>0</v>
      </c>
      <c r="AF18" s="899">
        <f t="shared" si="4"/>
        <v>1123</v>
      </c>
      <c r="AG18" s="899">
        <f t="shared" si="4"/>
        <v>0</v>
      </c>
      <c r="AH18" s="899">
        <f t="shared" si="4"/>
        <v>0</v>
      </c>
      <c r="AI18" s="899">
        <f t="shared" si="4"/>
        <v>0</v>
      </c>
      <c r="AJ18" s="899">
        <f t="shared" si="4"/>
        <v>0</v>
      </c>
      <c r="AK18" s="899">
        <f t="shared" si="4"/>
        <v>0</v>
      </c>
      <c r="AL18" s="899">
        <f t="shared" si="4"/>
        <v>0</v>
      </c>
      <c r="AM18" s="899">
        <f t="shared" si="4"/>
        <v>157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81</v>
      </c>
      <c r="BD18" s="899">
        <f t="shared" si="4"/>
        <v>76</v>
      </c>
      <c r="BE18" s="899">
        <f t="shared" si="4"/>
        <v>0</v>
      </c>
      <c r="BF18" s="899">
        <f t="shared" si="4"/>
        <v>0</v>
      </c>
      <c r="BG18" s="899">
        <f>IF(ISNUMBER(Datos!K18/Datos!J18),Datos!K18/Datos!J18," - ")</f>
        <v>0.70473537604456826</v>
      </c>
      <c r="BH18" s="903">
        <f>IF(ISNUMBER(((Datos!L18/Datos!K18)*11)/factor_trimestre),((Datos!L18/Datos!K18)*11)/factor_trimestre," - ")</f>
        <v>13.316205533596838</v>
      </c>
      <c r="BI18" s="899">
        <f>SUBTOTAL(9,BI15:BI17)</f>
        <v>0.60899014778325122</v>
      </c>
      <c r="BJ18" s="899">
        <f>SUBTOTAL(9,BJ15:BJ17)</f>
        <v>0</v>
      </c>
      <c r="BK18" s="899">
        <f>SUBTOTAL(9,BK15:BK17)</f>
        <v>0</v>
      </c>
      <c r="BL18" s="899">
        <f>IF(ISNUMBER((I18-AB18+L18)/(F18)),(I18-AB18+L18)/(F18)," - ")</f>
        <v>-0.26800847457627119</v>
      </c>
      <c r="BM18" s="905">
        <f>IF(ISNUMBER((Datos!P18-Datos!Q18)/(Datos!R18-Datos!P18+Datos!Q18)),(Datos!P18-Datos!Q18)/(Datos!R18-Datos!P18+Datos!Q18)," - ")</f>
        <v>0.16296296296296298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953</v>
      </c>
      <c r="G19" s="820">
        <f t="shared" si="6"/>
        <v>1025</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v>
      </c>
      <c r="AC19" s="821">
        <f t="shared" si="7"/>
        <v>46</v>
      </c>
      <c r="AD19" s="821">
        <f t="shared" si="7"/>
        <v>0</v>
      </c>
      <c r="AE19" s="821">
        <f t="shared" si="7"/>
        <v>0</v>
      </c>
      <c r="AF19" s="828">
        <f t="shared" si="7"/>
        <v>1131</v>
      </c>
      <c r="AG19" s="828">
        <f t="shared" si="7"/>
        <v>0</v>
      </c>
      <c r="AH19" s="828">
        <f t="shared" si="7"/>
        <v>36</v>
      </c>
      <c r="AI19" s="828">
        <f t="shared" si="7"/>
        <v>0</v>
      </c>
      <c r="AJ19" s="821">
        <f t="shared" si="7"/>
        <v>0</v>
      </c>
      <c r="AK19" s="828">
        <f t="shared" si="7"/>
        <v>0</v>
      </c>
      <c r="AL19" s="828">
        <f t="shared" si="7"/>
        <v>0</v>
      </c>
      <c r="AM19" s="828">
        <f t="shared" si="7"/>
        <v>1145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204</v>
      </c>
      <c r="BD19" s="820">
        <f t="shared" si="7"/>
        <v>238</v>
      </c>
      <c r="BE19" s="820">
        <f t="shared" si="7"/>
        <v>0</v>
      </c>
      <c r="BF19" s="830">
        <f t="shared" si="7"/>
        <v>0</v>
      </c>
      <c r="BG19" s="915">
        <f>IF(ISNUMBER(Datos!K19/Datos!J19),Datos!K19/Datos!J19," - ")</f>
        <v>0.72659176029962547</v>
      </c>
      <c r="BH19" s="915">
        <f>IF(ISNUMBER(((Datos!L19/Datos!K19)*11)/factor_trimestre),((Datos!L19/Datos!K19)*11)/factor_trimestre," - ")</f>
        <v>10.484536082474229</v>
      </c>
      <c r="BI19" s="813">
        <f>IF(ISNUMBER(Datos!J19/Datos!I19),Datos!J19/Datos!I19," - ")</f>
        <v>0.44156560088202867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-0.2707240293809024</v>
      </c>
      <c r="BM19" s="889">
        <f>IF(ISNUMBER((Datos!P19-Datos!Q19+R19)/(Datos!R19-Datos!P19+Datos!Q19-R19)),(Datos!P19-Datos!Q19+R19)/(Datos!R19-Datos!P19+Datos!Q19-R19)," - ")</f>
        <v>2.5985663082437275E-2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539.82250169230008</v>
      </c>
      <c r="G21" s="552">
        <f>IF(ISNUMBER(STDEV(G8:G18)),STDEV(G8:G18),"-")</f>
        <v>521.17559420985936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127.54685413603897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53.389137471961469</v>
      </c>
      <c r="BD21" s="551"/>
      <c r="BE21" s="551">
        <f>IF(ISNUMBER(STDEV(BE8:BE18)),STDEV(BE8:BE18),"-")</f>
        <v>0</v>
      </c>
      <c r="BF21" s="556">
        <f>IF(ISNUMBER(STDEV(BF8:BF18)),STDEV(BF8:BF18),"-")</f>
        <v>0</v>
      </c>
      <c r="BG21" s="775">
        <f>IF(ISNUMBER(STDEV(BG8:BG18)),STDEV(BG8:BG18),"-")</f>
        <v>0.25811399549819075</v>
      </c>
      <c r="BH21" s="776">
        <f>IF(ISNUMBER(STDEV(BH8:BH18)),STDEV(BH8:BH18),"-")</f>
        <v>3.3540129422596641</v>
      </c>
      <c r="BI21" s="249">
        <f>IF(ISNUMBER(STDEV(BI8:BI18)),STDEV(BI8:BI18),"-")</f>
        <v>0.14620508684856351</v>
      </c>
      <c r="BJ21" s="230" t="str">
        <f>IF(ISNUMBER(BL21/BM21),BL21/BM21," - ")</f>
        <v xml:space="preserve"> - </v>
      </c>
      <c r="BK21" s="575"/>
      <c r="BL21" s="559">
        <f>IF(ISNUMBER(STDEV(BL8:BL18)),STDEV(BL8:BL18),"-")</f>
        <v>0.20332649087084942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5ECfzqrHkFT4gak2c4bvUYgb9HLnlEEV4uF5moPrC4WMSQuacyVyn65K3js/2iwaCd7f/MVgi0VIgINNv9Ovg==" saltValue="I0tIFjTXlyZQ/PhUnIG2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AZPEITIA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7</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988</v>
      </c>
      <c r="AF12" s="229" t="str">
        <f>IF(ISNUMBER(Datos!BV12),Datos!BV12," - ")</f>
        <v xml:space="preserve"> - </v>
      </c>
      <c r="AG12" s="225" t="str">
        <f>IF(ISNUMBER(Datos!DV12),Datos!DV12," - ")</f>
        <v xml:space="preserve"> - </v>
      </c>
      <c r="AH12" s="298"/>
      <c r="AI12" s="227"/>
      <c r="AJ12" s="225">
        <f>IF(ISNUMBER(Datos!M12),Datos!M12," - ")</f>
        <v>121</v>
      </c>
      <c r="AK12" s="229">
        <f>IF(ISNUMBER(Datos!N12),Datos!N12," - ")</f>
        <v>162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8.3590504451038576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1.4373716632443531E-2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45</v>
      </c>
      <c r="AA13" s="900">
        <f t="shared" si="2"/>
        <v>8</v>
      </c>
      <c r="AB13" s="900">
        <f t="shared" si="2"/>
        <v>0</v>
      </c>
      <c r="AC13" s="900">
        <f t="shared" si="2"/>
        <v>0</v>
      </c>
      <c r="AD13" s="900">
        <f t="shared" si="2"/>
        <v>0</v>
      </c>
      <c r="AE13" s="900">
        <f t="shared" si="2"/>
        <v>988</v>
      </c>
      <c r="AF13" s="908">
        <f t="shared" si="2"/>
        <v>0</v>
      </c>
      <c r="AG13" s="908">
        <f t="shared" si="2"/>
        <v>0</v>
      </c>
      <c r="AH13" s="908">
        <f t="shared" si="2"/>
        <v>0</v>
      </c>
      <c r="AI13" s="908">
        <f t="shared" si="2"/>
        <v>0</v>
      </c>
      <c r="AJ13" s="908">
        <f t="shared" si="2"/>
        <v>123</v>
      </c>
      <c r="AK13" s="908">
        <f t="shared" si="2"/>
        <v>162</v>
      </c>
      <c r="AL13" s="908">
        <f t="shared" si="2"/>
        <v>0</v>
      </c>
      <c r="AM13" s="908">
        <f t="shared" si="2"/>
        <v>0</v>
      </c>
      <c r="AN13" s="908">
        <f t="shared" si="2"/>
        <v>0</v>
      </c>
      <c r="AO13" s="904">
        <f>IF(ISNUMBER(((NºAsuntos!I13/NºAsuntos!G13)*11)/factor_trimestre),((NºAsuntos!I13/NºAsuntos!G13)*11)/factor_trimestre," - ")</f>
        <v>8.3070175438596507</v>
      </c>
      <c r="AP13" s="910" t="str">
        <f>IF(ISNUMBER(Datos!CI13/Datos!CJ13),Datos!CI13/Datos!CJ13," - ")</f>
        <v xml:space="preserve"> - </v>
      </c>
      <c r="AQ13" s="928">
        <f t="shared" ref="AQ13:AV13" si="3">SUBTOTAL(9,AQ9:AQ12)</f>
        <v>0</v>
      </c>
      <c r="AR13" s="928">
        <f t="shared" si="3"/>
        <v>-0.98562628336755642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944</v>
      </c>
      <c r="G16" s="225">
        <f>IF(ISNUMBER(IF(D_I="SI",Datos!I16,Datos!I16+Datos!AC16)),IF(D_I="SI",Datos!I16,Datos!I16+Datos!AC16)," - ")</f>
        <v>943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232</v>
      </c>
      <c r="Z16" s="619">
        <f>IF(ISNUMBER(Datos!Q16),Datos!Q16," - ")</f>
        <v>1</v>
      </c>
      <c r="AA16" s="332">
        <f>IF(ISNUMBER(IF(D_I="SI",Datos!L16,Datos!L16+Datos!AF16)),IF(D_I="SI",Datos!L16,Datos!L16+Datos!AF16)," - ")</f>
        <v>1053</v>
      </c>
      <c r="AB16" s="334"/>
      <c r="AC16" s="334"/>
      <c r="AD16" s="484"/>
      <c r="AE16" s="484">
        <f>IF(ISNUMBER(Datos!R16),Datos!R16," - ")</f>
        <v>157</v>
      </c>
      <c r="AF16" s="229" t="str">
        <f>IF(ISNUMBER(Datos!BV16),Datos!BV16," - ")</f>
        <v xml:space="preserve"> - </v>
      </c>
      <c r="AG16" s="225"/>
      <c r="AH16" s="298"/>
      <c r="AI16" s="227"/>
      <c r="AJ16" s="225">
        <f>IF(ISNUMBER(Datos!M16),Datos!M16," - ")</f>
        <v>75</v>
      </c>
      <c r="AK16" s="229">
        <f>IF(ISNUMBER(Datos!N16),Datos!N16," - ")</f>
        <v>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13.616379310344827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944</v>
      </c>
      <c r="G18" s="898">
        <f>SUBTOTAL(9,G15:G17)</f>
        <v>1016</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253</v>
      </c>
      <c r="Z18" s="932">
        <f t="shared" si="5"/>
        <v>1</v>
      </c>
      <c r="AA18" s="932">
        <f t="shared" si="5"/>
        <v>1123</v>
      </c>
      <c r="AB18" s="932">
        <f t="shared" si="5"/>
        <v>0</v>
      </c>
      <c r="AC18" s="932">
        <f t="shared" si="5"/>
        <v>0</v>
      </c>
      <c r="AD18" s="932">
        <f t="shared" si="5"/>
        <v>0</v>
      </c>
      <c r="AE18" s="932">
        <f t="shared" si="5"/>
        <v>157</v>
      </c>
      <c r="AF18" s="932">
        <f t="shared" si="5"/>
        <v>0</v>
      </c>
      <c r="AG18" s="932">
        <f t="shared" si="5"/>
        <v>0</v>
      </c>
      <c r="AH18" s="932">
        <f t="shared" si="5"/>
        <v>0</v>
      </c>
      <c r="AI18" s="932">
        <f t="shared" si="5"/>
        <v>0</v>
      </c>
      <c r="AJ18" s="932">
        <f t="shared" si="5"/>
        <v>81</v>
      </c>
      <c r="AK18" s="932">
        <f t="shared" si="5"/>
        <v>76</v>
      </c>
      <c r="AL18" s="932">
        <f t="shared" si="5"/>
        <v>0</v>
      </c>
      <c r="AM18" s="932">
        <f t="shared" si="5"/>
        <v>0</v>
      </c>
      <c r="AN18" s="932">
        <f t="shared" si="5"/>
        <v>0</v>
      </c>
      <c r="AO18" s="934">
        <f>IF(ISNUMBER(((NºAsuntos!I18/NºAsuntos!G18)*11)/factor_trimestre),((NºAsuntos!I18/NºAsuntos!G18)*11)/factor_trimestre," - ")</f>
        <v>13.316205533596838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953</v>
      </c>
      <c r="G19" s="820">
        <f t="shared" si="7"/>
        <v>1025</v>
      </c>
      <c r="H19" s="821">
        <f t="shared" si="7"/>
        <v>0</v>
      </c>
      <c r="I19" s="820">
        <f t="shared" si="7"/>
        <v>0</v>
      </c>
      <c r="J19" s="822">
        <f t="shared" si="7"/>
        <v>0</v>
      </c>
      <c r="K19" s="820">
        <f t="shared" si="7"/>
        <v>0</v>
      </c>
      <c r="L19" s="823">
        <f t="shared" si="7"/>
        <v>0</v>
      </c>
      <c r="M19" s="820">
        <f t="shared" si="7"/>
        <v>0</v>
      </c>
      <c r="N19" s="821">
        <f t="shared" si="7"/>
        <v>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v>
      </c>
      <c r="Z19" s="827">
        <f t="shared" si="8"/>
        <v>46</v>
      </c>
      <c r="AA19" s="828">
        <f t="shared" si="8"/>
        <v>1131</v>
      </c>
      <c r="AB19" s="828">
        <f t="shared" si="8"/>
        <v>0</v>
      </c>
      <c r="AC19" s="828">
        <f t="shared" si="8"/>
        <v>0</v>
      </c>
      <c r="AD19" s="829">
        <f t="shared" si="8"/>
        <v>0</v>
      </c>
      <c r="AE19" s="829">
        <f t="shared" si="8"/>
        <v>1145</v>
      </c>
      <c r="AF19" s="830">
        <f t="shared" si="8"/>
        <v>0</v>
      </c>
      <c r="AG19" s="831">
        <f t="shared" si="8"/>
        <v>0</v>
      </c>
      <c r="AH19" s="832">
        <f t="shared" si="8"/>
        <v>0</v>
      </c>
      <c r="AI19" s="830">
        <f t="shared" si="8"/>
        <v>0</v>
      </c>
      <c r="AJ19" s="820">
        <f t="shared" si="8"/>
        <v>204</v>
      </c>
      <c r="AK19" s="820">
        <f t="shared" si="8"/>
        <v>238</v>
      </c>
      <c r="AL19" s="820">
        <f t="shared" si="8"/>
        <v>0</v>
      </c>
      <c r="AM19" s="833">
        <f t="shared" si="8"/>
        <v>0</v>
      </c>
      <c r="AN19" s="823">
        <f>IF(ISNUMBER(Datos!K19/Datos!J19),Datos!K19/Datos!J19," - ")</f>
        <v>0.72659176029962547</v>
      </c>
      <c r="AO19" s="823">
        <f>IF(ISNUMBER(FIND("06",Criterios!A8,1)),(IF(ISNUMBER(((Datos!R19/Datos!Q19)*11)/factor_trimestre),((Datos!R19/Datos!Q19)*11)/factor_trimestre," - ")),(IF(ISNUMBER(((Datos!L19/Datos!K19)*11)/factor_trimestre),((Datos!L19/Datos!K19)*11)/factor_trimestre," - ")))</f>
        <v>10.484536082474229</v>
      </c>
      <c r="AP19" s="834" t="str">
        <f>IF(ISNUMBER(Datos!CI19/Datos!CJ19),Datos!CI19/Datos!CJ19," - ")</f>
        <v xml:space="preserve"> - </v>
      </c>
      <c r="AQ19" s="834">
        <f>IF(OR(ISNUMBER(FIND("01",Criterios!A8,1)),ISNUMBER(FIND("02",Criterios!A8,1)),ISNUMBER(FIND("03",Criterios!A8,1)),ISNUMBER(FIND("04",Criterios!A8,1))),(J19-Y19+K19)/(F19-K19),(I19-Y19+K19)/(F19-K19))</f>
        <v>-0.2707240293809024</v>
      </c>
      <c r="AR19" s="834">
        <f>IF(ISNUMBER((Datos!P19-Datos!Q19+O19)/(Datos!R19-Datos!P19+Datos!Q19-O19)),(Datos!P19-Datos!Q19+O19)/(Datos!R19-Datos!P19+Datos!Q19-O19)," - ")</f>
        <v>2.5985663082437275E-2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539.82250169230008</v>
      </c>
      <c r="G21" s="552">
        <f>IF(ISNUMBER(STDEV(G8:G18)),STDEV(G8:G18),"-")</f>
        <v>521.17559420985936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53.389137471961469</v>
      </c>
      <c r="AK21" s="252"/>
      <c r="AL21" s="252">
        <f>IF(ISNUMBER(STDEV(AL8:AL18)),STDEV(AL8:AL18),"-")</f>
        <v>0</v>
      </c>
      <c r="AM21" s="254">
        <f>IF(ISNUMBER(STDEV(AM8:AM18)),STDEV(AM8:AM18),"-")</f>
        <v>0</v>
      </c>
      <c r="AN21" s="539">
        <f>IF(ISNUMBER(STDEV(AN8:AN18)),STDEV(AN8:AN18),"-")</f>
        <v>0</v>
      </c>
      <c r="AO21" s="540">
        <f>IF(ISNUMBER(STDEV(AO8:AO18)),STDEV(AO8:AO18),"-")</f>
        <v>3.3540106749263905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IiF1HbczXhQ8D0OKdnT8+kRB6Uol0G3Upf62EIz2p780+TZIcFNmkEZdJ8qNkd4kAy7FHLwKpVqYsZDKIUMZQ==" saltValue="IUbOX+En5lukzcAcQ43c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g6PcKbt/eq/OEItopVVTzQappqkjh6JuzqtbJNnwZ7r4dB+MHxk0VIJkx+R2dZQtEE/cT1vlIeM11g812djAg==" saltValue="jNFnDU5sNDaSY0LGvzow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bPqxHnzSeehC94T5GiKMosOYB+J55N6SQQgoImJNXDu3obXRIs28Irb1p5/5dwiI93IEwdsmmUz1GhiM7dOrg==" saltValue="oUD5Q/tHnKUxfLHcrApn0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0.35964912280701755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0.25431033358463551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ZwUGDEOLkoliR+HFjQpiV4LAOhH9mKhn3RxGN7cSkkV2X0hWe+NY7w2tbsKk/yiG6B0n04l+AaXP4JNCzXWxQ==" saltValue="pbzJ9Qao187rOIzeYPok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gnFf6cYZp6WuBCj3BT4uDjQKMRz0ym/SoQ+qgUrex78yWEEyqvJIWquFQvQtn7Q1pFvv6dtC1bvdDhcAbcyg==" saltValue="0r9JEbXXfF5Xea0nD51q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AZPEITIA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4</v>
      </c>
      <c r="F10" s="404">
        <f>IF(ISNUMBER(E10/B10),E10/B10," - ")</f>
        <v>4</v>
      </c>
      <c r="G10" s="403">
        <f>IF(ISNUMBER(Datos!K10),Datos!K10," - ")</f>
        <v>5</v>
      </c>
      <c r="H10" s="404">
        <f>IF(ISNUMBER(G10/B10),G10/B10," - ")</f>
        <v>5</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809</v>
      </c>
      <c r="D12" s="404">
        <f>IF(ISNUMBER(C12/Datos!BH12),C12/Datos!BH12," - ")</f>
        <v>404.5</v>
      </c>
      <c r="E12" s="403">
        <f>IF(ISNUMBER(IF(J_V="SI",Datos!J12,Datos!J12+Datos!Z12)),IF(J_V="SI",Datos!J12,Datos!J12+Datos!Z12)," - ")</f>
        <v>467</v>
      </c>
      <c r="F12" s="404">
        <f>IF(ISNUMBER(E12/B12),E12/B12," - ")</f>
        <v>233.5</v>
      </c>
      <c r="G12" s="403">
        <f>IF(ISNUMBER(IF(J_V="SI",Datos!K12,Datos!K12+Datos!AA12)),IF(J_V="SI",Datos!K12,Datos!K12+Datos!AA12)," - ")</f>
        <v>337</v>
      </c>
      <c r="H12" s="404">
        <f>IF(ISNUMBER(G12/B12),G12/B12," - ")</f>
        <v>168.5</v>
      </c>
      <c r="I12" s="403">
        <f>IF(ISNUMBER(IF(J_V="SI",Datos!L12,Datos!L12+Datos!AB12)),IF(J_V="SI",Datos!L12,Datos!L12+Datos!AB12)," - ")</f>
        <v>939</v>
      </c>
      <c r="J12" s="404">
        <f>IF(ISNUMBER(I12/B12),I12/B12," - ")</f>
        <v>469.5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818</v>
      </c>
      <c r="D13" s="850" t="str">
        <f>IF(ISNUMBER(C13/Datos!BI13),C13/Datos!BI13," - ")</f>
        <v xml:space="preserve"> - </v>
      </c>
      <c r="E13" s="849">
        <f>SUBTOTAL(9,E8:E12)</f>
        <v>471</v>
      </c>
      <c r="F13" s="850">
        <f>IF(ISNUMBER(E13/B13),E13/B13," - ")</f>
        <v>235.5</v>
      </c>
      <c r="G13" s="849">
        <f>SUBTOTAL(9,G8:G12)</f>
        <v>342</v>
      </c>
      <c r="H13" s="850">
        <f>IF(ISNUMBER(G13/B13),G13/B13," - ")</f>
        <v>171</v>
      </c>
      <c r="I13" s="849">
        <f>SUBTOTAL(9,I8:I12)</f>
        <v>947</v>
      </c>
      <c r="J13" s="850">
        <f>IF(ISNUMBER(I13/B13),I13/B13," - ")</f>
        <v>473.5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943</v>
      </c>
      <c r="D16" s="404">
        <f>IF(ISNUMBER(C16/Datos!BH16),C16/Datos!BH16," - ")</f>
        <v>471.5</v>
      </c>
      <c r="E16" s="403">
        <f>IF(ISNUMBER(IF(D_I="SI",Datos!J16,Datos!J16+Datos!AD16)),IF(D_I="SI",Datos!J16,Datos!J16+Datos!AD16)," - ")</f>
        <v>341</v>
      </c>
      <c r="F16" s="404">
        <f>IF(ISNUMBER(E16/B16),E16/B16," - ")</f>
        <v>170.5</v>
      </c>
      <c r="G16" s="403">
        <f>IF(ISNUMBER(IF(D_I="SI",Datos!K16,Datos!K16+Datos!AE16)),IF(D_I="SI",Datos!K16,Datos!K16+Datos!AE16)," - ")</f>
        <v>232</v>
      </c>
      <c r="H16" s="404">
        <f>IF(ISNUMBER(G16/B16),G16/B16," - ")</f>
        <v>116</v>
      </c>
      <c r="I16" s="403">
        <f>IF(ISNUMBER(IF(D_I="SI",Datos!L16,Datos!L16+Datos!AF16)),IF(D_I="SI",Datos!L16,Datos!L16+Datos!AF16)," - ")</f>
        <v>1053</v>
      </c>
      <c r="J16" s="404">
        <f>IF(ISNUMBER(I16/B16),I16/B16," - ")</f>
        <v>526.5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18</v>
      </c>
      <c r="F17" s="404">
        <f>IF(ISNUMBER(E17/B17),E17/B17," - ")</f>
        <v>18</v>
      </c>
      <c r="G17" s="403">
        <f>IF(ISNUMBER(IF(D_I="SI",Datos!K17,Datos!K17+Datos!AE17)),IF(D_I="SI",Datos!K17,Datos!K17+Datos!AE17)," - ")</f>
        <v>21</v>
      </c>
      <c r="H17" s="404">
        <f>IF(ISNUMBER(G17/B17),G17/B17," - ")</f>
        <v>21</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1016</v>
      </c>
      <c r="D18" s="850" t="str">
        <f>IF(ISNUMBER(C18/Datos!BI18),C18/Datos!BI18," - ")</f>
        <v xml:space="preserve"> - </v>
      </c>
      <c r="E18" s="849">
        <f>SUBTOTAL(9,E14:E17)</f>
        <v>359</v>
      </c>
      <c r="F18" s="850">
        <f>IF(ISNUMBER(E18/B18),E18/B18," - ")</f>
        <v>179.5</v>
      </c>
      <c r="G18" s="849">
        <f>SUBTOTAL(9,G14:G17)</f>
        <v>253</v>
      </c>
      <c r="H18" s="850">
        <f>IF(ISNUMBER(G18/B18),G18/B18," - ")</f>
        <v>126.5</v>
      </c>
      <c r="I18" s="849">
        <f>SUBTOTAL(9,I14:I17)</f>
        <v>1123</v>
      </c>
      <c r="J18" s="850">
        <f>IF(ISNUMBER(I18/B18),I18/B18," - ")</f>
        <v>561.5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1834</v>
      </c>
      <c r="D19" s="795" t="str">
        <f>IF(ISNUMBER(C19/Datos!BI19),C19/Datos!BI19," - ")</f>
        <v xml:space="preserve"> - </v>
      </c>
      <c r="E19" s="794">
        <f>SUBTOTAL(9,E9:E18)</f>
        <v>830</v>
      </c>
      <c r="F19" s="795">
        <f>IF(ISNUMBER(E19/B19),E19/B19," - ")</f>
        <v>415</v>
      </c>
      <c r="G19" s="794">
        <f>SUBTOTAL(9,G9:G18)</f>
        <v>595</v>
      </c>
      <c r="H19" s="795">
        <f>IF(ISNUMBER(G19/B19),G19/B19," - ")</f>
        <v>297.5</v>
      </c>
      <c r="I19" s="794">
        <f>SUBTOTAL(9,I9:I18)</f>
        <v>2070</v>
      </c>
      <c r="J19" s="795">
        <f>IF(ISNUMBER(I19/B19),I19/B19," - ")</f>
        <v>1035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S5/MCZFYiMUZP4KvY16cCjTa//E0IaovwE9IoTyZmZekbcwCD0vJ4jrN+mYQqiZ9aGfKuc+BxRhm3F+z1qVHQ==" saltValue="okwccedfdPE2RopUPY5y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AZPEITIA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121</v>
      </c>
      <c r="AM12" s="690">
        <f>IF(ISNUMBER(Datos!N12+DatosP!N16),Datos!N12+DatosP!N16," - ")</f>
        <v>162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8.3590504451038576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1.4373716632443531E-2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38</v>
      </c>
      <c r="AE13" s="939">
        <f t="shared" si="1"/>
        <v>0</v>
      </c>
      <c r="AF13" s="939">
        <f t="shared" si="1"/>
        <v>8</v>
      </c>
      <c r="AG13" s="939">
        <f t="shared" si="1"/>
        <v>0</v>
      </c>
      <c r="AH13" s="939">
        <f t="shared" si="1"/>
        <v>988</v>
      </c>
      <c r="AI13" s="939">
        <f t="shared" si="1"/>
        <v>0</v>
      </c>
      <c r="AJ13" s="939">
        <f t="shared" si="1"/>
        <v>0</v>
      </c>
      <c r="AK13" s="939">
        <f t="shared" si="1"/>
        <v>0</v>
      </c>
      <c r="AL13" s="939">
        <f t="shared" si="1"/>
        <v>123</v>
      </c>
      <c r="AM13" s="939">
        <f t="shared" si="1"/>
        <v>162</v>
      </c>
      <c r="AN13" s="939">
        <f t="shared" si="1"/>
        <v>0</v>
      </c>
      <c r="AO13" s="939">
        <f t="shared" si="1"/>
        <v>0</v>
      </c>
      <c r="AP13" s="944">
        <f>IF(ISNUMBER(((Datos!L13/Datos!K13)*11)/factor_trimestre),((Datos!L13/Datos!K13)*11)/factor_trimestre," - ")</f>
        <v>8.306990881458967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-0.55555555555555558</v>
      </c>
      <c r="AU13" s="939" t="str">
        <f>IF(ISNUMBER((DatosP!#REF!-DatosP!#REF!+DatosP!#REF!)/(DatosP!#REF!+DatosP!#REF!-DatosP!#REF!-DatosP!#REF!)),(DatosP!#REF!-DatosP!#REF!+DatosP!#REF!)/(DatosP!#REF!+DatosP!#REF!-DatosP!#REF!-DatosP!#REF!)," - ")</f>
        <v xml:space="preserve"> - </v>
      </c>
      <c r="AV13" s="945">
        <f>SUBTOTAL(9,AV9:AV12)</f>
        <v>1.4373716632443531E-2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13.316205533596838</v>
      </c>
      <c r="AQ18" s="944">
        <f>IF(ISNUMBER(((Datos!M18/Datos!L18)*11)/factor_trimestre),((Datos!M18/Datos!L18)*11)/factor_trimestre," - ")</f>
        <v>0.21638468388245771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0.16296296296296298</v>
      </c>
      <c r="AW18" s="946">
        <f>IF(ISNUMBER((Datos!Q18-Datos!R18)/(Datos!S18-Datos!Q18+Datos!R18)),(Datos!Q18-Datos!R18)/(Datos!S18-Datos!Q18+Datos!R18)," - ")</f>
        <v>-0.16455696202531644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38</v>
      </c>
      <c r="AE19" s="957">
        <f t="shared" si="5"/>
        <v>0</v>
      </c>
      <c r="AF19" s="958">
        <f t="shared" si="5"/>
        <v>8</v>
      </c>
      <c r="AG19" s="958">
        <f t="shared" si="5"/>
        <v>0</v>
      </c>
      <c r="AH19" s="958">
        <f t="shared" si="5"/>
        <v>988</v>
      </c>
      <c r="AI19" s="958">
        <f t="shared" si="5"/>
        <v>0</v>
      </c>
      <c r="AJ19" s="959">
        <f t="shared" si="5"/>
        <v>0</v>
      </c>
      <c r="AK19" s="959">
        <f t="shared" si="5"/>
        <v>0</v>
      </c>
      <c r="AL19" s="951">
        <f t="shared" si="5"/>
        <v>123</v>
      </c>
      <c r="AM19" s="951">
        <f t="shared" si="5"/>
        <v>162</v>
      </c>
      <c r="AN19" s="951">
        <f t="shared" si="5"/>
        <v>0</v>
      </c>
      <c r="AO19" s="951">
        <f t="shared" si="5"/>
        <v>0</v>
      </c>
      <c r="AP19" s="951">
        <f>IF(ISNUMBER(((Datos!L19/Datos!K19)*11)/factor_trimestre),((Datos!L19/Datos!K19)*11)/factor_trimestre," - ")</f>
        <v>10.484536082474229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-0.55555555555555558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2.5985663082437275E-2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69.868924899891411</v>
      </c>
      <c r="AM21" s="736"/>
      <c r="AN21" s="736">
        <f>IF(ISNUMBER(STDEV(AN8:AN18)),STDEV(AN8:AN18),"-")</f>
        <v>0</v>
      </c>
      <c r="AO21" s="742">
        <f>IF(ISNUMBER(STDEV(AO8:AO18)),STDEV(AO8:AO18),"-")</f>
        <v>0</v>
      </c>
      <c r="AP21" s="779">
        <f>IF(ISNUMBER(STDEV(AP8:AP18)),STDEV(AP8:AP18),"-")</f>
        <v>3.5019031730930177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wq8p1SzpEge+trHtMzrB70JA8Cu8HtpTO2YPxfYb2Npve13NFag161W32sw/qFVC9s6TmYpzNA178C1YeKBw==" saltValue="HwQs05hbUFN+d4fixT4f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AZPEITIA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H+G9TpZgiQdb4NrJxMaocGxHwIBhn1Zw9yOx5ZzwBzUuicQhHuKlGHzkOeeY6XmTUu14DAyfkOX0O+3Gx1wIw==" saltValue="qEoMHEXfm5FxO+r8iKY+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AZPEITIA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121</v>
      </c>
      <c r="E12" s="404">
        <f t="shared" si="0"/>
        <v>60.5</v>
      </c>
      <c r="F12" s="403">
        <f>IF(ISNUMBER(Datos!N12),Datos!N12," - ")</f>
        <v>162</v>
      </c>
      <c r="G12" s="404">
        <f t="shared" si="1"/>
        <v>81</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123</v>
      </c>
      <c r="E13" s="850">
        <f t="shared" si="0"/>
        <v>61.5</v>
      </c>
      <c r="F13" s="849">
        <f>SUBTOTAL(9,F9:F12)</f>
        <v>162</v>
      </c>
      <c r="G13" s="850">
        <f t="shared" si="1"/>
        <v>81</v>
      </c>
      <c r="H13" s="849">
        <f>SUBTOTAL(9,H9:H12)</f>
        <v>88</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75</v>
      </c>
      <c r="E16" s="404">
        <f t="shared" si="3"/>
        <v>37.5</v>
      </c>
      <c r="F16" s="403">
        <f>IF(ISNUMBER(Datos!N16),Datos!N16," - ")</f>
        <v>67</v>
      </c>
      <c r="G16" s="404">
        <f t="shared" si="4"/>
        <v>33.5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81</v>
      </c>
      <c r="E18" s="850">
        <f t="shared" si="3"/>
        <v>40.5</v>
      </c>
      <c r="F18" s="849">
        <f>SUBTOTAL(9,F15:F17)</f>
        <v>76</v>
      </c>
      <c r="G18" s="850">
        <f t="shared" si="4"/>
        <v>38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204</v>
      </c>
      <c r="E19" s="795">
        <f>IF(ISNUMBER(D19/B19),D19/B19," - ")</f>
        <v>102</v>
      </c>
      <c r="F19" s="794">
        <f>SUBTOTAL(9,F8:F18)</f>
        <v>238</v>
      </c>
      <c r="G19" s="795">
        <f>IF(ISNUMBER(F19/B19),F19/B19," - ")</f>
        <v>119</v>
      </c>
      <c r="H19" s="794">
        <f>SUBTOTAL(9,H8:H18)</f>
        <v>88</v>
      </c>
      <c r="I19" s="795">
        <f>IF(ISNUMBER(H19/B19),H19/B19," - ")</f>
        <v>44</v>
      </c>
    </row>
    <row r="22" spans="1:78">
      <c r="A22" s="391" t="str">
        <f>Criterios!A4</f>
        <v>Fecha Informe: 24 sep. 2024</v>
      </c>
    </row>
    <row r="27" spans="1:78">
      <c r="A27" s="414"/>
    </row>
  </sheetData>
  <sheetProtection algorithmName="SHA-512" hashValue="9Hr2dNFXZ5K43cIfqduiM+8yJic27BtPDtig/qLKOQk2o/6Jn0t5ZugbD9JrRePrpHxDVURsv/dcDG1Ze1HW8Q==" saltValue="RVlLR/zuUhaawCEpl60I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AZPEITIA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7</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38</v>
      </c>
      <c r="D12" s="408">
        <f>IF(ISNUMBER(Datos!R12),Datos!R12," - ")</f>
        <v>988</v>
      </c>
    </row>
    <row r="13" spans="1:4" ht="14.25" thickTop="1" thickBot="1">
      <c r="A13" s="848" t="str">
        <f>Datos!A13</f>
        <v>TOTAL</v>
      </c>
      <c r="B13" s="849">
        <f>SUBTOTAL(9,B9:B12)</f>
        <v>52</v>
      </c>
      <c r="C13" s="853">
        <f>SUBTOTAL(9,C9:C12)</f>
        <v>45</v>
      </c>
      <c r="D13" s="851">
        <f>SUBTOTAL(9,D9:D12)</f>
        <v>988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1</v>
      </c>
      <c r="D16" s="408">
        <f>IF(ISNUMBER(Datos!R16),Datos!R16," - ")</f>
        <v>157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1</v>
      </c>
      <c r="D18" s="851">
        <f>SUBTOTAL(9,D15:D17)</f>
        <v>157</v>
      </c>
    </row>
    <row r="19" spans="1:4" ht="16.5" customHeight="1" thickTop="1" thickBot="1">
      <c r="A19" s="793" t="str">
        <f>Datos!A19</f>
        <v>TOTAL JURISDICCIONES</v>
      </c>
      <c r="B19" s="798">
        <f>SUBTOTAL(9,B8:B18)</f>
        <v>75</v>
      </c>
      <c r="C19" s="799">
        <f>SUBTOTAL(9,C8:C18)</f>
        <v>46</v>
      </c>
      <c r="D19" s="800">
        <f>SUBTOTAL(9,D8:D18)</f>
        <v>1145</v>
      </c>
    </row>
    <row r="20" spans="1:4" ht="7.5" customHeight="1"/>
    <row r="21" spans="1:4" ht="6" customHeight="1"/>
    <row r="22" spans="1:4">
      <c r="A22" s="391" t="str">
        <f>Criterios!A4</f>
        <v>Fecha Informe: 24 sep. 2024</v>
      </c>
    </row>
    <row r="27" spans="1:4">
      <c r="A27" s="414"/>
    </row>
  </sheetData>
  <sheetProtection algorithmName="SHA-512" hashValue="FkCx59p7XnUJM+hmyJ15pe40SA6SmXeZjkNB7IMbs98PALj27H03zNxyKl1KOYuWjFzUePJlWGMM3E+9p0yH/A==" saltValue="M6zZtUyPiteFCMPPBbHi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AZPEITIA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0.33333333333333331</v>
      </c>
      <c r="D10" s="456">
        <f>IF(ISNUMBER((Datos!K10-Datos!U10)/Datos!U10),(Datos!K10-Datos!U10)/Datos!U10," - ")</f>
        <v>-0.375</v>
      </c>
      <c r="E10" s="456">
        <f>IF(ISNUMBER((Datos!L10-Datos!V10)/Datos!V10),(Datos!L10-Datos!V10)/Datos!V10," - ")</f>
        <v>0.6</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-0.53125</v>
      </c>
      <c r="I10" s="456">
        <f>IF(ISNUMBER(((NºAsuntos!I10/NºAsuntos!G10)-Datos!BE10)/Datos!BE10),((NºAsuntos!I10/NºAsuntos!G10)-Datos!BE10)/Datos!BE10," - ")</f>
        <v>1.56</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0.60000000000000009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0.13783403656821377</v>
      </c>
      <c r="C12" s="456">
        <f>IF(ISNUMBER(
   IF(J_V="SI",(Datos!J12-Datos!T12)/Datos!T12,(Datos!J12+Datos!Z12-(Datos!T12+Datos!AH12))/(Datos!T12+Datos!AH12))
     ),IF(J_V="SI",(Datos!J12-Datos!T12)/Datos!T12,(Datos!J12+Datos!Z12-(Datos!T12+Datos!AH12))/(Datos!T12+Datos!AH12))," - ")</f>
        <v>0.51623376623376627</v>
      </c>
      <c r="D12" s="456">
        <f>IF(ISNUMBER(
   IF(J_V="SI",(Datos!K12-Datos!U12)/Datos!U12,(Datos!K12+Datos!AA12-(Datos!U12+Datos!AI12))/(Datos!U12+Datos!AI12))
     ),IF(J_V="SI",(Datos!K12-Datos!U12)/Datos!U12,(Datos!K12+Datos!AA12-(Datos!U12+Datos!AI12))/(Datos!U12+Datos!AI12))," - ")</f>
        <v>8.0128205128205135E-2</v>
      </c>
      <c r="E12" s="456">
        <f>IF(ISNUMBER(
   IF(J_V="SI",(Datos!L12-Datos!V12)/Datos!V12,(Datos!L12+Datos!AB12-(Datos!V12+Datos!AJ12))/(Datos!V12+Datos!AJ12))
     ),IF(J_V="SI",(Datos!L12-Datos!V12)/Datos!V12,(Datos!L12+Datos!AB12-(Datos!V12+Datos!AJ12))/(Datos!V12+Datos!AJ12))," - ")</f>
        <v>0.32814710042432815</v>
      </c>
      <c r="F12" s="456">
        <f>IF(ISNUMBER((Datos!M12-Datos!W12)/Datos!W12),(Datos!M12-Datos!W12)/Datos!W12," - ")</f>
        <v>0.28723404255319152</v>
      </c>
      <c r="G12" s="457">
        <f>IF(ISNUMBER((Datos!N12-Datos!X12)/Datos!X12),(Datos!N12-Datos!X12)/Datos!X12," - ")</f>
        <v>0.58823529411764708</v>
      </c>
      <c r="H12" s="455">
        <f>IF(ISNUMBER(((NºAsuntos!G12/NºAsuntos!E12)-Datos!BD12)/Datos!BD12),((NºAsuntos!G12/NºAsuntos!E12)-Datos!BD12)/Datos!BD12," - ")</f>
        <v>-0.28762422445505947</v>
      </c>
      <c r="I12" s="456">
        <f>IF(ISNUMBER(((NºAsuntos!I12/NºAsuntos!G12)-Datos!BE12)/Datos!BE12),((NºAsuntos!I12/NºAsuntos!G12)-Datos!BE12)/Datos!BE12," - ")</f>
        <v>0.22961986745516444</v>
      </c>
      <c r="J12" s="461">
        <f>IF(ISNUMBER((('Resol  Asuntos'!D12/NºAsuntos!G12)-Datos!BF12)/Datos!BF12),(('Resol  Asuntos'!D12/NºAsuntos!G12)-Datos!BF12)/Datos!BF12," - ")</f>
        <v>9.8271949729446723E-2</v>
      </c>
      <c r="K12" s="462">
        <f>IF(ISNUMBER((((NºAsuntos!C12+NºAsuntos!E12)/NºAsuntos!G12)-Datos!BG12)/Datos!BG12),(((NºAsuntos!C12+NºAsuntos!E12)/NºAsuntos!G12)-Datos!BG12)/Datos!BG12," - ")</f>
        <v>0.15931427506457435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0.13453536754507628</v>
      </c>
      <c r="C13" s="855">
        <f>IF(ISNUMBER(
   IF(J_V="SI",(Datos!J13-Datos!T13)/Datos!T13,(Datos!J13+Datos!Z13-(Datos!T13+Datos!AH13))/(Datos!T13+Datos!AH13))
     ),IF(J_V="SI",(Datos!J13-Datos!T13)/Datos!T13,(Datos!J13+Datos!Z13-(Datos!T13+Datos!AH13))/(Datos!T13+Datos!AH13))," - ")</f>
        <v>0.51446945337620575</v>
      </c>
      <c r="D13" s="855">
        <f>IF(ISNUMBER(
   IF(J_V="SI",(Datos!K13-Datos!U13)/Datos!U13,(Datos!K13+Datos!AA13-(Datos!U13+Datos!AI13))/(Datos!U13+Datos!AI13))
     ),IF(J_V="SI",(Datos!K13-Datos!U13)/Datos!U13,(Datos!K13+Datos!AA13-(Datos!U13+Datos!AI13))/(Datos!U13+Datos!AI13))," - ")</f>
        <v>6.8750000000000006E-2</v>
      </c>
      <c r="E13" s="855">
        <f>IF(ISNUMBER(
   IF(J_V="SI",(Datos!L13-Datos!V13)/Datos!V13,(Datos!L13+Datos!AB13-(Datos!V13+Datos!AJ13))/(Datos!V13+Datos!AJ13))
     ),IF(J_V="SI",(Datos!L13-Datos!V13)/Datos!V13,(Datos!L13+Datos!AB13-(Datos!V13+Datos!AJ13))/(Datos!V13+Datos!AJ13))," - ")</f>
        <v>0.3300561797752809</v>
      </c>
      <c r="F13" s="856">
        <f>IF(ISNUMBER((Datos!M13-Datos!W13)/Datos!W13),(Datos!M13-Datos!W13)/Datos!W13," - ")</f>
        <v>0.25510204081632654</v>
      </c>
      <c r="G13" s="857">
        <f>IF(ISNUMBER((Datos!N13-Datos!X13)/Datos!X13),(Datos!N13-Datos!X13)/Datos!X13," - ")</f>
        <v>0.58823529411764708</v>
      </c>
      <c r="H13" s="857">
        <f>IF(ISNUMBER(((NºAsuntos!G13/NºAsuntos!E13)-Datos!BD13)/Datos!BD13),((NºAsuntos!G13/NºAsuntos!E13)-Datos!BD13)/Datos!BD13," - ")</f>
        <v>-0.29430732484076433</v>
      </c>
      <c r="I13" s="857">
        <f>IF(ISNUMBER(((NºAsuntos!I13/NºAsuntos!G13)-Datos!BE13)/Datos!BE13),((NºAsuntos!I13/NºAsuntos!G13)-Datos!BE13)/Datos!BE13," - ")</f>
        <v>0.24449701031605231</v>
      </c>
      <c r="J13" s="857">
        <f>IF(ISNUMBER((('Resol  Asuntos'!D13/NºAsuntos!G13)-Datos!BF13)/Datos!BF13),(('Resol  Asuntos'!D13/NºAsuntos!G13)-Datos!BF13)/Datos!BF13," - ")</f>
        <v>8.5733200926845471E-2</v>
      </c>
      <c r="K13" s="857">
        <f>IF(ISNUMBER((((NºAsuntos!C13+NºAsuntos!E13)/NºAsuntos!G13)-Datos!BG13)/Datos!BG13),(((NºAsuntos!C13+NºAsuntos!E13)/NºAsuntos!G13)-Datos!BG13)/Datos!BG13," - ")</f>
        <v>0.16868398386146244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0.25733333333333336</v>
      </c>
      <c r="C16" s="456">
        <f>IF(ISNUMBER(
   IF(D_I="SI",(Datos!J16-Datos!T16)/Datos!T16,(Datos!J16+Datos!AD16-(Datos!T16+Datos!AL16))/(Datos!T16+Datos!AL16))
     ),IF(D_I="SI",(Datos!J16-Datos!T16)/Datos!T16,(Datos!J16+Datos!AD16-(Datos!T16+Datos!AL16))/(Datos!T16+Datos!AL16))," - ")</f>
        <v>0.28195488721804512</v>
      </c>
      <c r="D16" s="456">
        <f>IF(ISNUMBER(
   IF(D_I="SI",(Datos!K16-Datos!U16)/Datos!U16,(Datos!K16+Datos!AE16-(Datos!U16+Datos!AM16))/(Datos!U16+Datos!AM16))
     ),IF(D_I="SI",(Datos!K16-Datos!U16)/Datos!U16,(Datos!K16+Datos!AE16-(Datos!U16+Datos!AM16))/(Datos!U16+Datos!AM16))," - ")</f>
        <v>-0.10424710424710425</v>
      </c>
      <c r="E16" s="456">
        <f>IF(ISNUMBER(
   IF(D_I="SI",(Datos!L16-Datos!V16)/Datos!V16,(Datos!L16+Datos!AF16-(Datos!V16+Datos!AN16))/(Datos!V16+Datos!AN16))
     ),IF(D_I="SI",(Datos!L16-Datos!V16)/Datos!V16,(Datos!L16+Datos!AF16-(Datos!V16+Datos!AN16))/(Datos!V16+Datos!AN16))," - ")</f>
        <v>0.39101717305151917</v>
      </c>
      <c r="F16" s="456">
        <f>IF(ISNUMBER((Datos!M16-Datos!W16)/Datos!W16),(Datos!M16-Datos!W16)/Datos!W16," - ")</f>
        <v>0.171875</v>
      </c>
      <c r="G16" s="457">
        <f>IF(ISNUMBER((Datos!N16-Datos!X16)/Datos!X16),(Datos!N16-Datos!X16)/Datos!X16," - ")</f>
        <v>-0.49624060150375937</v>
      </c>
      <c r="H16" s="455">
        <f>IF(ISNUMBER(((NºAsuntos!G16/NºAsuntos!E16)-Datos!BD16)/Datos!BD16),((NºAsuntos!G16/NºAsuntos!E16)-Datos!BD16)/Datos!BD16," - ")</f>
        <v>-0.30126020448601099</v>
      </c>
      <c r="I16" s="456">
        <f>IF(ISNUMBER(((NºAsuntos!I16/NºAsuntos!G16)-Datos!BE16)/Datos!BE16),((NºAsuntos!I16/NºAsuntos!G16)-Datos!BE16)/Datos!BE16," - ")</f>
        <v>0.55290279232906658</v>
      </c>
      <c r="J16" s="461">
        <f>IF(ISNUMBER((('Resol  Asuntos'!D16/NºAsuntos!G16)-Datos!BF16)/Datos!BF16),(('Resol  Asuntos'!D16/NºAsuntos!G16)-Datos!BF16)/Datos!BF16," - ")</f>
        <v>0.30825700431034481</v>
      </c>
      <c r="K16" s="462">
        <f>IF(ISNUMBER((((NºAsuntos!C16+NºAsuntos!E16)/NºAsuntos!G16)-Datos!BG16)/Datos!BG16),(((NºAsuntos!C16+NºAsuntos!E16)/NºAsuntos!G16)-Datos!BG16)/Datos!BG16," - ")</f>
        <v>0.41085731740428988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0.73809523809523814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-0.44736842105263158</v>
      </c>
      <c r="E17" s="456">
        <f>IF(ISNUMBER(
   IF(D_I="SI",(Datos!L17-Datos!V17)/Datos!V17,(Datos!L17+Datos!AF17-(Datos!V17+Datos!AN17))/(Datos!V17+Datos!AN17))
     ),IF(D_I="SI",(Datos!L17-Datos!V17)/Datos!V17,(Datos!L17+Datos!AF17-(Datos!V17+Datos!AN17))/(Datos!V17+Datos!AN17))," - ")</f>
        <v>0.75</v>
      </c>
      <c r="F17" s="456">
        <f>IF(ISNUMBER((Datos!M17-Datos!W17)/Datos!W17),(Datos!M17-Datos!W17)/Datos!W17," - ")</f>
        <v>-0.25</v>
      </c>
      <c r="G17" s="457">
        <f>IF(ISNUMBER((Datos!N17-Datos!X17)/Datos!X17),(Datos!N17-Datos!X17)/Datos!X17," - ")</f>
        <v>-0.35714285714285715</v>
      </c>
      <c r="H17" s="455">
        <f>IF(ISNUMBER(((NºAsuntos!G17/NºAsuntos!E17)-Datos!BD17)/Datos!BD17),((NºAsuntos!G17/NºAsuntos!E17)-Datos!BD17)/Datos!BD17," - ")</f>
        <v>0.10526315789473689</v>
      </c>
      <c r="I17" s="456">
        <f>IF(ISNUMBER(((NºAsuntos!I17/NºAsuntos!G17)-Datos!BE17)/Datos!BE17),((NºAsuntos!I17/NºAsuntos!G17)-Datos!BE17)/Datos!BE17," - ")</f>
        <v>2.166666666666667</v>
      </c>
      <c r="J17" s="461">
        <f>IF(ISNUMBER((('Resol  Asuntos'!D17/NºAsuntos!G17)-Datos!BF17)/Datos!BF17),(('Resol  Asuntos'!D17/NºAsuntos!G17)-Datos!BF17)/Datos!BF17," - ")</f>
        <v>0.35714285714285715</v>
      </c>
      <c r="K17" s="462">
        <f>IF(ISNUMBER((((NºAsuntos!C17+NºAsuntos!E17)/NºAsuntos!G17)-Datos!BG17)/Datos!BG17),(((NºAsuntos!C17+NºAsuntos!E17)/NºAsuntos!G17)-Datos!BG17)/Datos!BG17," - ")</f>
        <v>1.1111111111111107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0.28282828282828282</v>
      </c>
      <c r="C18" s="855">
        <f>IF(ISNUMBER(
   IF(Criterios!B14="SI",(Datos!J18-Datos!T18)/Datos!T18,(Datos!J18+Datos!AD18-(Datos!T18+Datos!AL18))/(Datos!T18+Datos!AL18))
     ),IF(Criterios!B14="SI",(Datos!J18-Datos!T18)/Datos!T18,(Datos!J18+Datos!AD18-(Datos!T18+Datos!AL18))/(Datos!T18+Datos!AL18))," - ")</f>
        <v>0.18874172185430463</v>
      </c>
      <c r="D18" s="855">
        <f>IF(ISNUMBER(
   IF(Criterios!B14="SI",(Datos!K18-Datos!U18)/Datos!U18,(Datos!K18+Datos!AE18-(Datos!U18+Datos!AM18))/(Datos!U18+Datos!AM18))
     ),IF(Criterios!B14="SI",(Datos!K18-Datos!U18)/Datos!U18,(Datos!K18+Datos!AE18-(Datos!U18+Datos!AM18))/(Datos!U18+Datos!AM18))," - ")</f>
        <v>-0.14814814814814814</v>
      </c>
      <c r="E18" s="855">
        <f>IF(ISNUMBER(
   IF(Criterios!B14="SI",(Datos!L18-Datos!V18)/Datos!V18,(Datos!L18+Datos!AF18-(Datos!V18+Datos!AN18))/(Datos!V18+Datos!AN18))
     ),IF(Criterios!B14="SI",(Datos!L18-Datos!V18)/Datos!V18,(Datos!L18+Datos!AF18-(Datos!V18+Datos!AN18))/(Datos!V18+Datos!AN18))," - ")</f>
        <v>0.40903387703889588</v>
      </c>
      <c r="F18" s="856">
        <f>IF(ISNUMBER((Datos!M18-Datos!W18)/Datos!W18),(Datos!M18-Datos!W18)/Datos!W18," - ")</f>
        <v>0.125</v>
      </c>
      <c r="G18" s="857">
        <f>IF(ISNUMBER((Datos!N18-Datos!X18)/Datos!X18),(Datos!N18-Datos!X18)/Datos!X18," - ")</f>
        <v>-0.48299319727891155</v>
      </c>
      <c r="H18" s="857">
        <f>IF(ISNUMBER(((NºAsuntos!G18/NºAsuntos!E18)-Datos!BD18)/Datos!BD18),((NºAsuntos!G18/NºAsuntos!E18)-Datos!BD18)/Datos!BD18," - ")</f>
        <v>-0.28340039203548956</v>
      </c>
      <c r="I18" s="857">
        <f>IF(ISNUMBER(((NºAsuntos!I18/NºAsuntos!G18)-Datos!BE18)/Datos!BE18),((NºAsuntos!I18/NºAsuntos!G18)-Datos!BE18)/Datos!BE18," - ")</f>
        <v>0.65408324695870379</v>
      </c>
      <c r="J18" s="857">
        <f>IF(ISNUMBER((('Resol  Asuntos'!D18/NºAsuntos!G18)-Datos!BF18)/Datos!BF18),(('Resol  Asuntos'!D18/NºAsuntos!G18)-Datos!BF18)/Datos!BF18," - ")</f>
        <v>0.32065217391304335</v>
      </c>
      <c r="K18" s="857">
        <f>IF(ISNUMBER((((NºAsuntos!C18+NºAsuntos!E18)/NºAsuntos!G18)-Datos!BG18)/Datos!BG18),(((NºAsuntos!C18+NºAsuntos!E18)/NºAsuntos!G18)-Datos!BG18)/Datos!BG18," - ")</f>
        <v>0.47543915428026395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0.21216126900198282</v>
      </c>
      <c r="C19" s="802">
        <f>IF(ISNUMBER(
   IF(J_V="SI",(Datos!J19-Datos!T19)/Datos!T19,(Datos!J19+Datos!Z19-(Datos!T19+Datos!AH19))/(Datos!T19+Datos!AH19))
     ),IF(J_V="SI",(Datos!J19-Datos!T19)/Datos!T19,(Datos!J19+Datos!Z19-(Datos!T19+Datos!AH19))/(Datos!T19+Datos!AH19))," - ")</f>
        <v>0.35399673735725939</v>
      </c>
      <c r="D19" s="802">
        <f>IF(ISNUMBER(
   IF(J_V="SI",(Datos!K19-Datos!U19)/Datos!U19,(Datos!K19+Datos!AA19-(Datos!U19+Datos!AI19))/(Datos!U19+Datos!AI19))
     ),IF(J_V="SI",(Datos!K19-Datos!U19)/Datos!U19,(Datos!K19+Datos!AA19-(Datos!U19+Datos!AI19))/(Datos!U19+Datos!AI19))," - ")</f>
        <v>-3.5656401944894653E-2</v>
      </c>
      <c r="E19" s="802">
        <f>IF(ISNUMBER(
   IF(J_V="SI",(Datos!L19-Datos!V19)/Datos!V19,(Datos!L19+Datos!AB19-(Datos!V19+Datos!AJ19))/(Datos!V19+Datos!AJ19))
     ),IF(J_V="SI",(Datos!L19-Datos!V19)/Datos!V19,(Datos!L19+Datos!AB19-(Datos!V19+Datos!AJ19))/(Datos!V19+Datos!AJ19))," - ")</f>
        <v>0.37176938369781309</v>
      </c>
      <c r="F19" s="803">
        <f>IF(ISNUMBER((Datos!M19-Datos!W19)/Datos!W19),(Datos!M19-Datos!W19)/Datos!W19," - ")</f>
        <v>0.2</v>
      </c>
      <c r="G19" s="804">
        <f>IF(ISNUMBER((Datos!N19-Datos!X19)/Datos!X19),(Datos!N19-Datos!X19)/Datos!X19," - ")</f>
        <v>-4.4176706827309238E-2</v>
      </c>
      <c r="H19" s="805">
        <f>IF(ISNUMBER((Tasas!B19-Datos!BD19)/Datos!BD19),(Tasas!B19-Datos!BD19)/Datos!BD19," - ")</f>
        <v>-0.28777996914725351</v>
      </c>
      <c r="I19" s="806">
        <f>IF(ISNUMBER((Tasas!C19-Datos!BE19)/Datos!BE19),(Tasas!C19-Datos!BE19)/Datos!BE19," - ")</f>
        <v>0.42249026847319449</v>
      </c>
      <c r="J19" s="807">
        <f>IF(ISNUMBER((Tasas!D19-Datos!BF19)/Datos!BF19),(Tasas!D19-Datos!BF19)/Datos!BF19," - ")</f>
        <v>0.18844301765650084</v>
      </c>
      <c r="K19" s="807">
        <f>IF(ISNUMBER((Tasas!E19-Datos!BG19)/Datos!BG19),(Tasas!E19-Datos!BG19)/Datos!BG19," - ")</f>
        <v>0.29938891831426839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AlN/rgkHbJAljOqE6enfRmt1n/buuBvpfuRRMOFyYbAEis2ByLvkzh6mw8F0VbbzLhV0wVN4P8YMQOEYyPoEw==" saltValue="dHo/SwtjGJiA4IJeg0ll1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AZPEITIA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1.6</v>
      </c>
      <c r="D10" s="444">
        <f>IF(ISNUMBER('Resol  Asuntos'!D10/NºAsuntos!G10),'Resol  Asuntos'!D10/NºAsuntos!G10," - ")</f>
        <v>0.4</v>
      </c>
      <c r="E10" s="445">
        <f>IF(ISNUMBER((NºAsuntos!C10+NºAsuntos!E10)/NºAsuntos!G10),(NºAsuntos!C10+NºAsuntos!E10)/NºAsuntos!G10," - ")</f>
        <v>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0.72162740899357602</v>
      </c>
      <c r="C12" s="443">
        <f>IF(ISNUMBER(NºAsuntos!I12/NºAsuntos!G12),NºAsuntos!I12/NºAsuntos!G12," - ")</f>
        <v>2.7863501483679527</v>
      </c>
      <c r="D12" s="444">
        <f>IF(ISNUMBER('Resol  Asuntos'!D12/NºAsuntos!G12),'Resol  Asuntos'!D12/NºAsuntos!G12," - ")</f>
        <v>0.35905044510385759</v>
      </c>
      <c r="E12" s="445">
        <f>IF(ISNUMBER((NºAsuntos!C12+NºAsuntos!E12)/NºAsuntos!G12),(NºAsuntos!C12+NºAsuntos!E12)/NºAsuntos!G12," - ")</f>
        <v>3.7863501483679527</v>
      </c>
      <c r="G12" s="463"/>
    </row>
    <row r="13" spans="1:7" ht="14.25" thickTop="1" thickBot="1">
      <c r="A13" s="848" t="str">
        <f>Datos!A13</f>
        <v>TOTAL</v>
      </c>
      <c r="B13" s="858">
        <f>IF(ISNUMBER(NºAsuntos!G13/NºAsuntos!E13),NºAsuntos!G13/NºAsuntos!E13," - ")</f>
        <v>0.72611464968152861</v>
      </c>
      <c r="C13" s="859">
        <f>IF(ISNUMBER(NºAsuntos!I13/NºAsuntos!G13),NºAsuntos!I13/NºAsuntos!G13," - ")</f>
        <v>2.7690058479532165</v>
      </c>
      <c r="D13" s="860">
        <f>IF(ISNUMBER('Resol  Asuntos'!D13/NºAsuntos!G13),'Resol  Asuntos'!D13/NºAsuntos!G13," - ")</f>
        <v>0.35964912280701755</v>
      </c>
      <c r="E13" s="861">
        <f>IF(ISNUMBER((NºAsuntos!C13+NºAsuntos!E13)/NºAsuntos!G13),(NºAsuntos!C13+NºAsuntos!E13)/NºAsuntos!G13," - ")</f>
        <v>3.7690058479532165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0.68035190615835772</v>
      </c>
      <c r="C16" s="443">
        <f>IF(ISNUMBER(NºAsuntos!I16/NºAsuntos!G16),NºAsuntos!I16/NºAsuntos!G16," - ")</f>
        <v>4.5387931034482758</v>
      </c>
      <c r="D16" s="444">
        <f>IF(ISNUMBER('Resol  Asuntos'!D16/NºAsuntos!G16),'Resol  Asuntos'!D16/NºAsuntos!G16," - ")</f>
        <v>0.32327586206896552</v>
      </c>
      <c r="E16" s="445">
        <f>IF(ISNUMBER((NºAsuntos!C16+NºAsuntos!E16)/NºAsuntos!G16),(NºAsuntos!C16+NºAsuntos!E16)/NºAsuntos!G16," - ")</f>
        <v>5.5344827586206895</v>
      </c>
      <c r="G16" s="463"/>
    </row>
    <row r="17" spans="1:7" ht="13.5" thickBot="1">
      <c r="A17" s="402" t="str">
        <f>Datos!A17</f>
        <v>Jdos. Violencia contra la mujer</v>
      </c>
      <c r="B17" s="442">
        <f>IF(ISNUMBER(NºAsuntos!G17/NºAsuntos!E17),NºAsuntos!G17/NºAsuntos!E17," - ")</f>
        <v>1.1666666666666667</v>
      </c>
      <c r="C17" s="443">
        <f>IF(ISNUMBER(NºAsuntos!I17/NºAsuntos!G17),NºAsuntos!I17/NºAsuntos!G17," - ")</f>
        <v>3.3333333333333335</v>
      </c>
      <c r="D17" s="444">
        <f>IF(ISNUMBER('Resol  Asuntos'!D17/NºAsuntos!G17),'Resol  Asuntos'!D17/NºAsuntos!G17," - ")</f>
        <v>0.2857142857142857</v>
      </c>
      <c r="E17" s="445">
        <f>IF(ISNUMBER((NºAsuntos!C17+NºAsuntos!E17)/NºAsuntos!G17),(NºAsuntos!C17+NºAsuntos!E17)/NºAsuntos!G17," - ")</f>
        <v>4.333333333333333</v>
      </c>
      <c r="G17" s="463"/>
    </row>
    <row r="18" spans="1:7" ht="14.25" thickTop="1" thickBot="1">
      <c r="A18" s="848" t="str">
        <f>Datos!A18</f>
        <v>TOTAL</v>
      </c>
      <c r="B18" s="858">
        <f>IF(ISNUMBER(NºAsuntos!G18/NºAsuntos!E18),NºAsuntos!G18/NºAsuntos!E18," - ")</f>
        <v>0.70473537604456826</v>
      </c>
      <c r="C18" s="859">
        <f>IF(ISNUMBER(NºAsuntos!I18/NºAsuntos!G18),NºAsuntos!I18/NºAsuntos!G18," - ")</f>
        <v>4.4387351778656123</v>
      </c>
      <c r="D18" s="862">
        <f>IF(ISNUMBER('Resol  Asuntos'!D18/NºAsuntos!G18),'Resol  Asuntos'!D18/NºAsuntos!G18," - ")</f>
        <v>0.3201581027667984</v>
      </c>
      <c r="E18" s="861">
        <f>IF(ISNUMBER((NºAsuntos!C18+NºAsuntos!E18)/NºAsuntos!G18),(NºAsuntos!C18+NºAsuntos!E18)/NºAsuntos!G18," - ")</f>
        <v>5.4347826086956523</v>
      </c>
      <c r="G18" s="463"/>
    </row>
    <row r="19" spans="1:7" ht="15.75" customHeight="1" thickTop="1" thickBot="1">
      <c r="A19" s="793" t="str">
        <f>Datos!A19</f>
        <v>TOTAL JURISDICCIONES</v>
      </c>
      <c r="B19" s="808">
        <f>IF(ISNUMBER(NºAsuntos!G19/NºAsuntos!E19),NºAsuntos!G19/NºAsuntos!E19," - ")</f>
        <v>0.7168674698795181</v>
      </c>
      <c r="C19" s="809">
        <f>IF(ISNUMBER(NºAsuntos!I19/NºAsuntos!G19),NºAsuntos!I19/NºAsuntos!G19," - ")</f>
        <v>3.4789915966386555</v>
      </c>
      <c r="D19" s="810">
        <f>IF(ISNUMBER('Resol  Asuntos'!D19/NºAsuntos!G19),'Resol  Asuntos'!D19/NºAsuntos!G19," - ")</f>
        <v>0.34285714285714286</v>
      </c>
      <c r="E19" s="811">
        <f>IF(ISNUMBER((NºAsuntos!C19+NºAsuntos!E19)/NºAsuntos!G19),(NºAsuntos!C19+NºAsuntos!E19)/NºAsuntos!G19," - ")</f>
        <v>4.477310924369748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orC2VvMVdpZLuZKQ3fjPn07TXxCGpUOPqWfA6mgAHoZRfJhFsZYftJ+eB157sSkgCqYV+7CtizwB7gyVwgT7A==" saltValue="j6MuaCZY9qIv/miDPq9b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AZPEITIA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7</v>
      </c>
      <c r="Y10" s="334">
        <f t="shared" ref="Y10:Y12" si="0">SUM(W10:X10)</f>
        <v>12</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4.8000000000000007</v>
      </c>
      <c r="AN10" s="244">
        <f>IF(ISNUMBER('Resol  Asuntos'!D10/NºAsuntos!G10),'Resol  Asuntos'!D10/NºAsuntos!G10," - ")</f>
        <v>0.4</v>
      </c>
      <c r="AO10" s="245">
        <f>IF(ISNUMBER((NºAsuntos!C10+NºAsuntos!E10)/NºAsuntos!G10),(NºAsuntos!C10+NºAsuntos!E10)/NºAsuntos!G10," - ")</f>
        <v>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121</v>
      </c>
      <c r="AJ12" s="229" t="str">
        <f>IF(ISNUMBER(Datos!BW12),Datos!BW12," - ")</f>
        <v xml:space="preserve"> - </v>
      </c>
      <c r="AK12" s="228" t="str">
        <f>IF(ISNUMBER(Datos!BX12),Datos!BX12," - ")</f>
        <v xml:space="preserve"> - </v>
      </c>
      <c r="AL12" s="243">
        <f>IF(ISNUMBER(NºAsuntos!G12/NºAsuntos!E12),NºAsuntos!G12/NºAsuntos!E12," - ")</f>
        <v>0.72162740899357602</v>
      </c>
      <c r="AM12" s="260">
        <f>IF(ISNUMBER(((NºAsuntos!I12/NºAsuntos!G12)*11)/factor_trimestre),((NºAsuntos!I12/NºAsuntos!G12)*11)/factor_trimestre," - ")</f>
        <v>8.3590504451038576</v>
      </c>
      <c r="AN12" s="244">
        <f>IF(ISNUMBER('Resol  Asuntos'!D12/NºAsuntos!G12),'Resol  Asuntos'!D12/NºAsuntos!G12," - ")</f>
        <v>0.35905044510385759</v>
      </c>
      <c r="AO12" s="245">
        <f>IF(ISNUMBER((NºAsuntos!C12+NºAsuntos!E12)/NºAsuntos!G12),(NºAsuntos!C12+NºAsuntos!E12)/NºAsuntos!G12," - ")</f>
        <v>3.7863501483679527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45</v>
      </c>
      <c r="Y13" s="868">
        <f t="shared" si="4"/>
        <v>50</v>
      </c>
      <c r="Z13" s="868">
        <f t="shared" si="4"/>
        <v>0</v>
      </c>
      <c r="AA13" s="868">
        <f t="shared" si="4"/>
        <v>8</v>
      </c>
      <c r="AB13" s="868">
        <f t="shared" si="4"/>
        <v>988</v>
      </c>
      <c r="AC13" s="868">
        <f t="shared" si="4"/>
        <v>8</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0.72611464968152861</v>
      </c>
      <c r="AM13" s="874">
        <f>IF(ISNUMBER(((NºAsuntos!I13/NºAsuntos!G13)*11)/factor_trimestre),((NºAsuntos!I13/NºAsuntos!G13)*11)/factor_trimestre," - ")</f>
        <v>8.3070175438596507</v>
      </c>
      <c r="AN13" s="875">
        <f>IF(ISNUMBER('Resol  Asuntos'!D13/NºAsuntos!G13),'Resol  Asuntos'!D13/NºAsuntos!G13," - ")</f>
        <v>0.35964912280701755</v>
      </c>
      <c r="AO13" s="876">
        <f>IF(ISNUMBER((NºAsuntos!C13+NºAsuntos!E13)/NºAsuntos!G13),(NºAsuntos!C13+NºAsuntos!E13)/NºAsuntos!G13," - ")</f>
        <v>3.7690058479532165</v>
      </c>
      <c r="AP13" s="877" t="str">
        <f t="shared" si="2"/>
        <v xml:space="preserve"> - </v>
      </c>
      <c r="AQ13" s="877">
        <f>IF(ISNUMBER((H13-W13+K13)/(F13)),(H13-W13+K13)/(F13)," - ")</f>
        <v>-0.55555555555555558</v>
      </c>
      <c r="AR13" s="878">
        <f>IF(ISNUMBER((Datos!P13-Datos!Q13)/(Datos!R13-Datos!P13+Datos!Q13)),(Datos!P13-Datos!Q13)/(Datos!R13-Datos!P13+Datos!Q13)," - ")</f>
        <v>7.1355759429153924E-3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944</v>
      </c>
      <c r="G16" s="333">
        <f>IF(ISNUMBER(IF(D_I="SI",Datos!I16,Datos!I16+Datos!AC16)),IF(D_I="SI",Datos!I16,Datos!I16+Datos!AC16)," - ")</f>
        <v>943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232</v>
      </c>
      <c r="X16" s="226">
        <f>IF(ISNUMBER(Datos!Q16),Datos!Q16," - ")</f>
        <v>1</v>
      </c>
      <c r="Y16" s="334">
        <f t="shared" ref="Y16:Y17" si="7">SUM(W16:X16)</f>
        <v>233</v>
      </c>
      <c r="Z16" s="335" t="str">
        <f>IF(ISNUMBER(Datos!CC16),Datos!CC16," - ")</f>
        <v xml:space="preserve"> - </v>
      </c>
      <c r="AA16" s="332">
        <f>IF(ISNUMBER(IF(D_I="SI",Datos!L16,Datos!L16+Datos!AF16)),IF(D_I="SI",Datos!L16,Datos!L16+Datos!AF16)," - ")</f>
        <v>1053</v>
      </c>
      <c r="AB16" s="334">
        <f>IF(ISNUMBER(Datos!R16),Datos!R16," - ")</f>
        <v>157</v>
      </c>
      <c r="AC16" s="334">
        <f t="shared" si="6"/>
        <v>1210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75</v>
      </c>
      <c r="AJ16" s="231" t="str">
        <f>IF(ISNUMBER(Datos!BW16),Datos!BW16," - ")</f>
        <v xml:space="preserve"> - </v>
      </c>
      <c r="AK16" s="232" t="str">
        <f>IF(ISNUMBER(Datos!BX16),Datos!BX16," - ")</f>
        <v xml:space="preserve"> - </v>
      </c>
      <c r="AL16" s="243">
        <f>IF(ISNUMBER(NºAsuntos!G16/NºAsuntos!E16),NºAsuntos!G16/NºAsuntos!E16," - ")</f>
        <v>0.68035190615835772</v>
      </c>
      <c r="AM16" s="260">
        <f>IF(ISNUMBER(((NºAsuntos!I16/NºAsuntos!G16)*11)/factor_trimestre),((NºAsuntos!I16/NºAsuntos!G16)*11)/factor_trimestre," - ")</f>
        <v>13.616379310344827</v>
      </c>
      <c r="AN16" s="244">
        <f>IF(ISNUMBER('Resol  Asuntos'!D16/NºAsuntos!G16),'Resol  Asuntos'!D16/NºAsuntos!G16," - ")</f>
        <v>0.32327586206896552</v>
      </c>
      <c r="AO16" s="245">
        <f>IF(ISNUMBER((NºAsuntos!C16+NºAsuntos!E16)/NºAsuntos!G16),(NºAsuntos!C16+NºAsuntos!E16)/NºAsuntos!G16," - ")</f>
        <v>5.5344827586206895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70</v>
      </c>
      <c r="AB17" s="334">
        <f>IF(ISNUMBER(Datos!R17),Datos!R17," - ")</f>
        <v>0</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1.1666666666666667</v>
      </c>
      <c r="AM17" s="260">
        <f>IF(ISNUMBER(((NºAsuntos!I17/NºAsuntos!G17)*11)/factor_trimestre),((NºAsuntos!I17/NºAsuntos!G17)*11)/factor_trimestre," - ")</f>
        <v>10.000000000000002</v>
      </c>
      <c r="AN17" s="244">
        <f>IF(ISNUMBER('Resol  Asuntos'!D17/NºAsuntos!G17),'Resol  Asuntos'!D17/NºAsuntos!G17," - ")</f>
        <v>0.2857142857142857</v>
      </c>
      <c r="AO17" s="245">
        <f>IF(ISNUMBER((NºAsuntos!C17+NºAsuntos!E17)/NºAsuntos!G17),(NºAsuntos!C17+NºAsuntos!E17)/NºAsuntos!G17," - ")</f>
        <v>4.333333333333333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944</v>
      </c>
      <c r="G18" s="866">
        <f>SUBTOTAL(9,G15:G17)</f>
        <v>1016</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253</v>
      </c>
      <c r="X18" s="867">
        <f t="shared" si="11"/>
        <v>1</v>
      </c>
      <c r="Y18" s="868">
        <f t="shared" si="11"/>
        <v>254</v>
      </c>
      <c r="Z18" s="868">
        <f t="shared" si="11"/>
        <v>0</v>
      </c>
      <c r="AA18" s="868">
        <f t="shared" si="11"/>
        <v>1123</v>
      </c>
      <c r="AB18" s="868">
        <f t="shared" si="11"/>
        <v>157</v>
      </c>
      <c r="AC18" s="868">
        <f t="shared" si="11"/>
        <v>1280</v>
      </c>
      <c r="AD18" s="868">
        <f t="shared" si="11"/>
        <v>0</v>
      </c>
      <c r="AE18" s="872">
        <f t="shared" si="11"/>
        <v>0</v>
      </c>
      <c r="AF18" s="865">
        <f t="shared" si="11"/>
        <v>0</v>
      </c>
      <c r="AG18" s="873">
        <f t="shared" si="11"/>
        <v>0</v>
      </c>
      <c r="AH18" s="870">
        <f t="shared" si="11"/>
        <v>0</v>
      </c>
      <c r="AI18" s="865">
        <f t="shared" si="11"/>
        <v>81</v>
      </c>
      <c r="AJ18" s="867">
        <f t="shared" si="11"/>
        <v>0</v>
      </c>
      <c r="AK18" s="870">
        <f t="shared" si="11"/>
        <v>0</v>
      </c>
      <c r="AL18" s="874">
        <f>IF(ISNUMBER(NºAsuntos!G18/NºAsuntos!E18),NºAsuntos!G18/NºAsuntos!E18," - ")</f>
        <v>0.70473537604456826</v>
      </c>
      <c r="AM18" s="874">
        <f>IF(ISNUMBER(((NºAsuntos!I18/NºAsuntos!G18)*11)/factor_trimestre),((NºAsuntos!I18/NºAsuntos!G18)*11)/factor_trimestre," - ")</f>
        <v>13.316205533596838</v>
      </c>
      <c r="AN18" s="875">
        <f>IF(ISNUMBER('Resol  Asuntos'!D18/NºAsuntos!G18),'Resol  Asuntos'!D18/NºAsuntos!G18," - ")</f>
        <v>0.3201581027667984</v>
      </c>
      <c r="AO18" s="876">
        <f>IF(ISNUMBER((NºAsuntos!C18+NºAsuntos!E18)/NºAsuntos!G18),(NºAsuntos!C18+NºAsuntos!E18)/NºAsuntos!G18," - ")</f>
        <v>5.4347826086956523</v>
      </c>
      <c r="AP18" s="877" t="str">
        <f t="shared" si="2"/>
        <v xml:space="preserve"> - </v>
      </c>
      <c r="AQ18" s="877">
        <f>IF(ISNUMBER((H18-W18+K18)/(F18)),(H18-W18+K18)/(F18)," - ")</f>
        <v>-0.26800847457627119</v>
      </c>
      <c r="AR18" s="878">
        <f>IF(ISNUMBER((Datos!P18-Datos!Q18)/(Datos!R18-Datos!P18+Datos!Q18)),(Datos!P18-Datos!Q18)/(Datos!R18-Datos!P18+Datos!Q18)," - ")</f>
        <v>0.16296296296296298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953</v>
      </c>
      <c r="G19" s="821">
        <f t="shared" si="13"/>
        <v>1025</v>
      </c>
      <c r="H19" s="820">
        <f t="shared" si="13"/>
        <v>0</v>
      </c>
      <c r="I19" s="822">
        <f t="shared" si="13"/>
        <v>0</v>
      </c>
      <c r="J19" s="822">
        <f t="shared" si="13"/>
        <v>0</v>
      </c>
      <c r="K19" s="881">
        <f t="shared" si="13"/>
        <v>0</v>
      </c>
      <c r="L19" s="822">
        <f t="shared" si="13"/>
        <v>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v>
      </c>
      <c r="X19" s="821">
        <f t="shared" si="14"/>
        <v>46</v>
      </c>
      <c r="Y19" s="828">
        <f t="shared" si="14"/>
        <v>304</v>
      </c>
      <c r="Z19" s="828">
        <f t="shared" si="14"/>
        <v>0</v>
      </c>
      <c r="AA19" s="828">
        <f t="shared" si="14"/>
        <v>1131</v>
      </c>
      <c r="AB19" s="828">
        <f t="shared" si="14"/>
        <v>1145</v>
      </c>
      <c r="AC19" s="828">
        <f t="shared" si="14"/>
        <v>1288</v>
      </c>
      <c r="AD19" s="828">
        <f t="shared" si="14"/>
        <v>0</v>
      </c>
      <c r="AE19" s="830">
        <f t="shared" si="14"/>
        <v>0</v>
      </c>
      <c r="AF19" s="831">
        <f t="shared" si="14"/>
        <v>0</v>
      </c>
      <c r="AG19" s="832">
        <f t="shared" si="14"/>
        <v>0</v>
      </c>
      <c r="AH19" s="830">
        <f t="shared" si="14"/>
        <v>0</v>
      </c>
      <c r="AI19" s="820">
        <f t="shared" si="14"/>
        <v>204</v>
      </c>
      <c r="AJ19" s="820">
        <f t="shared" si="14"/>
        <v>0</v>
      </c>
      <c r="AK19" s="830">
        <f t="shared" si="14"/>
        <v>0</v>
      </c>
      <c r="AL19" s="884">
        <f>IF(ISNUMBER(NºAsuntos!G19/NºAsuntos!E19),NºAsuntos!G19/NºAsuntos!E19," - ")</f>
        <v>0.7168674698795181</v>
      </c>
      <c r="AM19" s="885">
        <f>IF(ISNUMBER(((NºAsuntos!I19/NºAsuntos!G19)*11)/factor_trimestre),((NºAsuntos!I19/NºAsuntos!G19)*11)/factor_trimestre," - ")</f>
        <v>10.436974789915967</v>
      </c>
      <c r="AN19" s="885">
        <f>IF(ISNUMBER('Resol  Asuntos'!D19/NºAsuntos!G19),'Resol  Asuntos'!D19/NºAsuntos!G19," - ")</f>
        <v>0.34285714285714286</v>
      </c>
      <c r="AO19" s="886">
        <f>IF(ISNUMBER((NºAsuntos!C19+NºAsuntos!E19)/NºAsuntos!G19),(NºAsuntos!C19+NºAsuntos!E19)/NºAsuntos!G19," - ")</f>
        <v>4.477310924369748</v>
      </c>
      <c r="AP19" s="887" t="str">
        <f t="shared" si="2"/>
        <v xml:space="preserve"> - </v>
      </c>
      <c r="AQ19" s="888">
        <f>IF(OR(ISNUMBER(FIND("01",Criterios!A8,1)),ISNUMBER(FIND("02",Criterios!A8,1)),ISNUMBER(FIND("03",Criterios!A8,1)),ISNUMBER(FIND("04",Criterios!A8,1))),(I19-W19+K19)/(F19-K19),(H19-W19+K19)/(F19-K19))</f>
        <v>-0.2707240293809024</v>
      </c>
      <c r="AR19" s="889">
        <f>IF(ISNUMBER((Datos!P19-Datos!Q19)/(Datos!R19-Datos!P19+Datos!Q19)),(Datos!P19-Datos!Q19)/(Datos!R19-Datos!P19+Datos!Q19)," - ")</f>
        <v>2.5985663082437275E-2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539.82250169230008</v>
      </c>
      <c r="G21" s="253">
        <f>IF(ISNUMBER(STDEV(G8:G18)),STDEV(G8:G18),"-")</f>
        <v>521.17559420985936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127.54685413603897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53.389137471961469</v>
      </c>
      <c r="AJ21" s="252">
        <f t="shared" si="18"/>
        <v>0</v>
      </c>
      <c r="AK21" s="254">
        <f t="shared" si="18"/>
        <v>0</v>
      </c>
      <c r="AL21" s="249">
        <f t="shared" si="18"/>
        <v>0.26010087424999545</v>
      </c>
      <c r="AM21" s="250">
        <f t="shared" si="18"/>
        <v>3.3540106749263905</v>
      </c>
      <c r="AN21" s="250">
        <f t="shared" si="18"/>
        <v>3.9897566912032362E-2</v>
      </c>
      <c r="AO21" s="251">
        <f t="shared" si="18"/>
        <v>1.1161614718438451</v>
      </c>
      <c r="AP21" s="291" t="str">
        <f t="shared" si="18"/>
        <v>-</v>
      </c>
      <c r="AQ21" s="292">
        <f t="shared" si="18"/>
        <v>0.20332649087084942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W/rmYDk+RYdSyvZZYks0jtxnvAH2o9jChhSxxEp0tzx6kAGl5E6xtbdiltj/fzunFxLjhk6VFmqVk9GifBXSw==" saltValue="HLGkO9e/m9c7ZshjjQkU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AZPEITIA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0.33333333333333331</v>
      </c>
      <c r="F10" s="348">
        <f>IF(ISNUMBER((Datos!K10-Datos!U10)/Datos!U10),(Datos!K10-Datos!U10)/Datos!U10," - ")</f>
        <v>-0.375</v>
      </c>
      <c r="G10" s="349">
        <f>IF(ISNUMBER((Datos!L10-Datos!V10)/Datos!V10),(Datos!L10-Datos!V10)/Datos!V10," - ")</f>
        <v>0.6</v>
      </c>
      <c r="H10" s="230">
        <f>IF(ISNUMBER((Datos!M10-Datos!W10)/Datos!W10),(Datos!M10-Datos!W10)/Datos!W10," - ")</f>
        <v>-0.5</v>
      </c>
      <c r="I10" s="350">
        <f>IF(ISNUMBER((Tasas!C10-Datos!BE10)/Datos!BE10),(Tasas!C10-Datos!BE10)/Datos!BE10," - ")</f>
        <v>1.56</v>
      </c>
      <c r="J10" s="349">
        <f>IF(ISNUMBER((Tasas!D10-Datos!BF10)/Datos!BF10),(Tasas!D10-Datos!BF10)/Datos!BF10," - ")</f>
        <v>-0.19999999999999996</v>
      </c>
      <c r="K10" s="351">
        <f>IF(ISNUMBER((Tasas!E10-Datos!BG10)/Datos!BG10),(Tasas!E10-Datos!BG10)/Datos!BG10," - ")</f>
        <v>0.60000000000000009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0.28723404255319152</v>
      </c>
      <c r="I12" s="350">
        <f>IF(ISNUMBER((Tasas!C12-Datos!BE12)/Datos!BE12),(Tasas!C12-Datos!BE12)/Datos!BE12," - ")</f>
        <v>0.22961986745516444</v>
      </c>
      <c r="J12" s="349">
        <f>IF(ISNUMBER((Tasas!D12-Datos!BF12)/Datos!BF12),(Tasas!D12-Datos!BF12)/Datos!BF12," - ")</f>
        <v>9.8271949729446723E-2</v>
      </c>
      <c r="K12" s="351">
        <f>IF(ISNUMBER((Tasas!E12-Datos!BG12)/Datos!BG12),(Tasas!E12-Datos!BG12)/Datos!BG12," - ")</f>
        <v>0.15931427506457435</v>
      </c>
      <c r="M12" t="e">
        <f>IF(Monitorios="SI",Datos!CE12,0)</f>
        <v>#REF!</v>
      </c>
      <c r="N12" t="e">
        <f>IF(Monitorios="SI",Datos!CF12,0)</f>
        <v>#REF!</v>
      </c>
      <c r="O12" t="e">
        <f>IF(Monitorios="SI",Datos!CG12,0)</f>
        <v>#REF!</v>
      </c>
      <c r="P12" t="e">
        <f>IF(Monitorios="SI",Datos!CH12,0)</f>
        <v>#REF!</v>
      </c>
      <c r="Q12">
        <f>IF(J_V="SI",0,Datos!AG12)</f>
        <v>22</v>
      </c>
      <c r="R12">
        <f>IF(J_V="SI",0,Datos!AH12)</f>
        <v>33</v>
      </c>
      <c r="S12">
        <f>IF(J_V="SI",0,Datos!AI12)</f>
        <v>23</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0.25510204081632654</v>
      </c>
      <c r="I13" s="357">
        <f>IF(ISNUMBER((Tasas!C13-Datos!BE13)/Datos!BE13),(Tasas!C13-Datos!BE13)/Datos!BE13," - ")</f>
        <v>0.24449701031605231</v>
      </c>
      <c r="J13" s="355">
        <f>IF(ISNUMBER((Tasas!D13-Datos!BF13)/Datos!BF13),(Tasas!D13-Datos!BF13)/Datos!BF13," - ")</f>
        <v>8.5733200926845471E-2</v>
      </c>
      <c r="K13" s="358">
        <f>IF(ISNUMBER((Tasas!E13-Datos!BG13)/Datos!BG13),(Tasas!E13-Datos!BG13)/Datos!BG13," - ")</f>
        <v>0.16868398386146244</v>
      </c>
      <c r="M13" t="e">
        <f>IF(Monitorios="SI",Datos!CE13,0)</f>
        <v>#REF!</v>
      </c>
      <c r="N13" t="e">
        <f>IF(Monitorios="SI",Datos!CF13,0)</f>
        <v>#REF!</v>
      </c>
      <c r="O13" t="e">
        <f>IF(Monitorios="SI",Datos!CG13,0)</f>
        <v>#REF!</v>
      </c>
      <c r="P13" t="e">
        <f>IF(Monitorios="SI",Datos!CH13,0)</f>
        <v>#REF!</v>
      </c>
      <c r="Q13">
        <f>IF(J_V="SI",0,Datos!AG13)</f>
        <v>22</v>
      </c>
      <c r="R13">
        <f>IF(J_V="SI",0,Datos!AH13)</f>
        <v>33</v>
      </c>
      <c r="S13">
        <f>IF(J_V="SI",0,Datos!AI13)</f>
        <v>23</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0.25733333333333336</v>
      </c>
      <c r="E16" s="348">
        <f>IF(ISNUMBER(
   IF(D_I="SI",(Datos!J16-Datos!T16)/Datos!T16,(Datos!J16+Datos!AD16-(Datos!T16+Datos!AL16))/(Datos!T16+Datos!AL16))
     ),IF(D_I="SI",(Datos!J16-Datos!T16)/Datos!T16,(Datos!J16+Datos!AD16-(Datos!T16+Datos!AL16))/(Datos!T16+Datos!AL16))," - ")</f>
        <v>0.28195488721804512</v>
      </c>
      <c r="F16" s="348">
        <f>IF(ISNUMBER(
   IF(D_I="SI",(Datos!K16-Datos!U16)/Datos!U16,(Datos!K16+Datos!AE16-(Datos!U16+Datos!AM16))/(Datos!U16+Datos!AM16))
     ),IF(D_I="SI",(Datos!K16-Datos!U16)/Datos!U16,(Datos!K16+Datos!AE16-(Datos!U16+Datos!AM16))/(Datos!U16+Datos!AM16))," - ")</f>
        <v>-0.10424710424710425</v>
      </c>
      <c r="G16" s="349">
        <f>IF(ISNUMBER(
   IF(D_I="SI",(Datos!L16-Datos!V16)/Datos!V16,(Datos!L16+Datos!AF16-(Datos!V16+Datos!AN16))/(Datos!V16+Datos!AN16))
     ),IF(D_I="SI",(Datos!L16-Datos!V16)/Datos!V16,(Datos!L16+Datos!AF16-(Datos!V16+Datos!AN16))/(Datos!V16+Datos!AN16))," - ")</f>
        <v>0.39101717305151917</v>
      </c>
      <c r="H16" s="230">
        <f>IF(ISNUMBER((Datos!M16-Datos!W16)/Datos!W16),(Datos!M16-Datos!W16)/Datos!W16," - ")</f>
        <v>0.171875</v>
      </c>
      <c r="I16" s="350">
        <f>IF(ISNUMBER((Tasas!C16-Datos!BE16)/Datos!BE16),(Tasas!C16-Datos!BE16)/Datos!BE16," - ")</f>
        <v>0.55290279232906658</v>
      </c>
      <c r="J16" s="349">
        <f>IF(ISNUMBER((Tasas!D16-Datos!BF16)/Datos!BF16),(Tasas!D16-Datos!BF16)/Datos!BF16," - ")</f>
        <v>0.30825700431034481</v>
      </c>
      <c r="K16" s="351">
        <f>IF(ISNUMBER((Tasas!E16-Datos!BG16)/Datos!BG16),(Tasas!E16-Datos!BG16)/Datos!BG16," - ")</f>
        <v>0.41085731740428988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0.73809523809523814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-0.44736842105263158</v>
      </c>
      <c r="G17" s="349">
        <f>IF(ISNUMBER(
   IF(D_I="SI",(Datos!L17-Datos!V17)/Datos!V17,(Datos!L17+Datos!AF17-(Datos!V17+Datos!AN17))/(Datos!V17+Datos!AN17))
     ),IF(D_I="SI",(Datos!L17-Datos!V17)/Datos!V17,(Datos!L17+Datos!AF17-(Datos!V17+Datos!AN17))/(Datos!V17+Datos!AN17))," - ")</f>
        <v>0.75</v>
      </c>
      <c r="H17" s="230">
        <f>IF(ISNUMBER((Datos!M17-Datos!W17)/Datos!W17),(Datos!M17-Datos!W17)/Datos!W17," - ")</f>
        <v>-0.25</v>
      </c>
      <c r="I17" s="350">
        <f>IF(ISNUMBER((Tasas!C17-Datos!BE17)/Datos!BE17),(Tasas!C17-Datos!BE17)/Datos!BE17," - ")</f>
        <v>2.166666666666667</v>
      </c>
      <c r="J17" s="349">
        <f>IF(ISNUMBER((Tasas!D17-Datos!BF17)/Datos!BF17),(Tasas!D17-Datos!BF17)/Datos!BF17," - ")</f>
        <v>0.35714285714285715</v>
      </c>
      <c r="K17" s="351">
        <f>IF(ISNUMBER((Tasas!E17-Datos!BG17)/Datos!BG17),(Tasas!E17-Datos!BG17)/Datos!BG17," - ")</f>
        <v>1.1111111111111107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0.28282828282828282</v>
      </c>
      <c r="E18" s="354">
        <f>IF(ISNUMBER(
   IF(D_I="SI",(Datos!J18-Datos!T18)/Datos!T18,(Datos!J18+Datos!AD18-(Datos!T18+Datos!AL18))/(Datos!T18+Datos!AL18))
     ),IF(D_I="SI",(Datos!J18-Datos!T18)/Datos!T18,(Datos!J18+Datos!AD18-(Datos!T18+Datos!AL18))/(Datos!T18+Datos!AL18))," - ")</f>
        <v>0.18874172185430463</v>
      </c>
      <c r="F18" s="354">
        <f>IF(ISNUMBER(
   IF(D_I="SI",(Datos!K18-Datos!U18)/Datos!U18,(Datos!K18+Datos!AE18-(Datos!U18+Datos!AM18))/(Datos!U18+Datos!AM18))
     ),IF(D_I="SI",(Datos!K18-Datos!U18)/Datos!U18,(Datos!K18+Datos!AE18-(Datos!U18+Datos!AM18))/(Datos!U18+Datos!AM18))," - ")</f>
        <v>-0.14814814814814814</v>
      </c>
      <c r="G18" s="355">
        <f>IF(ISNUMBER(
   IF(D_I="SI",(Datos!L18-Datos!V18)/Datos!V18,(Datos!L18+Datos!AF18-(Datos!V18+Datos!AN18))/(Datos!V18+Datos!AN18))
     ),IF(D_I="SI",(Datos!L18-Datos!V18)/Datos!V18,(Datos!L18+Datos!AF18-(Datos!V18+Datos!AN18))/(Datos!V18+Datos!AN18))," - ")</f>
        <v>0.40903387703889588</v>
      </c>
      <c r="H18" s="356">
        <f>IF(ISNUMBER((Datos!M18-Datos!W18)/Datos!W18),(Datos!M18-Datos!W18)/Datos!W18," - ")</f>
        <v>0.125</v>
      </c>
      <c r="I18" s="357">
        <f>IF(ISNUMBER((Tasas!C18-Datos!BE18)/Datos!BE18),(Tasas!C18-Datos!BE18)/Datos!BE18," - ")</f>
        <v>0.65408324695870379</v>
      </c>
      <c r="J18" s="355">
        <f>IF(ISNUMBER((Tasas!D18-Datos!BF18)/Datos!BF18),(Tasas!D18-Datos!BF18)/Datos!BF18," - ")</f>
        <v>0.32065217391304335</v>
      </c>
      <c r="K18" s="358">
        <f>IF(ISNUMBER((Tasas!E18-Datos!BG18)/Datos!BG18),(Tasas!E18-Datos!BG18)/Datos!BG18," - ")</f>
        <v>0.47543915428026395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0.21216126900198282</v>
      </c>
      <c r="E19" s="363">
        <f>IF(ISNUMBER(
   IF(J_V="SI",(Datos!J19-Datos!T19)/Datos!T19,(Datos!J19+Datos!Z19-(Datos!T19+Datos!AH19))/(Datos!T19+Datos!AH19))
     ),IF(J_V="SI",(Datos!J19-Datos!T19)/Datos!T19,(Datos!J19+Datos!Z19-(Datos!T19+Datos!AH19))/(Datos!T19+Datos!AH19))," - ")</f>
        <v>0.35399673735725939</v>
      </c>
      <c r="F19" s="363">
        <f>IF(ISNUMBER(
   IF(J_V="SI",(Datos!K19-Datos!U19)/Datos!U19,(Datos!K19+Datos!AA19-(Datos!U19+Datos!AI19))/(Datos!U19+Datos!AI19))
     ),IF(J_V="SI",(Datos!K19-Datos!U19)/Datos!U19,(Datos!K19+Datos!AA19-(Datos!U19+Datos!AI19))/(Datos!U19+Datos!AI19))," - ")</f>
        <v>-3.5656401944894653E-2</v>
      </c>
      <c r="G19" s="364">
        <f>IF(ISNUMBER(
   IF(J_V="SI",(Datos!L19-Datos!V19)/Datos!V19,(Datos!L19+Datos!AB19-(Datos!V19+Datos!AJ19))/(Datos!V19+Datos!AJ19))
     ),IF(J_V="SI",(Datos!L19-Datos!V19)/Datos!V19,(Datos!L19+Datos!AB19-(Datos!V19+Datos!AJ19))/(Datos!V19+Datos!AJ19))," - ")</f>
        <v>0.37176938369781309</v>
      </c>
      <c r="H19" s="365">
        <f>IF(ISNUMBER((Datos!M19-Datos!W19)/Datos!W19),(Datos!M19-Datos!W19)/Datos!W19," - ")</f>
        <v>0.2</v>
      </c>
      <c r="I19" s="362">
        <f>IF(ISNUMBER((Tasas!C19-Datos!BE19)/Datos!BE19),(Tasas!C19-Datos!BE19)/Datos!BE19," - ")</f>
        <v>0.42249026847319449</v>
      </c>
      <c r="J19" s="363">
        <f>IF(ISNUMBER((Tasas!D19-Datos!BF19)/Datos!BF19),(Tasas!D19-Datos!BF19)/Datos!BF19," - ")</f>
        <v>0.18844301765650084</v>
      </c>
      <c r="K19" s="364">
        <f>IF(ISNUMBER((Tasas!E19-Datos!BG19)/Datos!BG19),(Tasas!E19-Datos!BG19)/Datos!BG19," - ")</f>
        <v>0.29938891831426839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0.34347467585451441</v>
      </c>
      <c r="E21" s="278">
        <f t="shared" si="1"/>
        <v>0.38864060331535899</v>
      </c>
      <c r="F21" s="278">
        <f t="shared" si="1"/>
        <v>0.16812653791907195</v>
      </c>
      <c r="G21" s="279">
        <f t="shared" si="1"/>
        <v>0.17031662933875868</v>
      </c>
      <c r="H21" s="285">
        <f t="shared" si="1"/>
        <v>0.31746496683018205</v>
      </c>
      <c r="I21" s="277">
        <f t="shared" si="1"/>
        <v>0.78741089603425263</v>
      </c>
      <c r="J21" s="278">
        <f t="shared" si="1"/>
        <v>0.21239756036052185</v>
      </c>
      <c r="K21" s="279">
        <f t="shared" si="1"/>
        <v>0.35125948455316197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KWA+iAtsphCti032C1S5EZnyFLywM8i2/GdgRkUTkRJEts4LrYMhS1PYt78H26RgpGZIAZQcGX1X7PpIFpNdw==" saltValue="r+R5EiaDruaQS2RSB5o0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